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\\tsrfl011\04.企業連携G\410 書式\受入研修\2025年度\001 試算表\"/>
    </mc:Choice>
  </mc:AlternateContent>
  <xr:revisionPtr revIDLastSave="0" documentId="13_ncr:1_{3F85A888-985E-4F3D-87F3-EFF49D7ACDED}" xr6:coauthVersionLast="47" xr6:coauthVersionMax="47" xr10:uidLastSave="{00000000-0000-0000-0000-000000000000}"/>
  <workbookProtection lockStructure="1"/>
  <bookViews>
    <workbookView xWindow="-108" yWindow="-108" windowWidth="23256" windowHeight="12576" tabRatio="651" xr2:uid="{00000000-000D-0000-FFFF-FFFF00000000}"/>
  </bookViews>
  <sheets>
    <sheet name="9D･A9D費用試算" sheetId="2" r:id="rId1"/>
    <sheet name="9D･A9D月別受入費明細" sheetId="8" r:id="rId2"/>
    <sheet name="9D･A9D計算シート" sheetId="7" state="hidden" r:id="rId3"/>
  </sheets>
  <definedNames>
    <definedName name="【海外旅行保険】">'9D･A9D計算シート'!$S$35:$U$75</definedName>
    <definedName name="【月別標準日数】" comment="セル範囲">'9D･A9D計算シート'!$K$33:$M$44</definedName>
    <definedName name="【研修申込区分】" comment="試算条件">'9D･A9D計算シート'!$B$33</definedName>
    <definedName name="【研修申込区分別費用】" comment="金額">'9D･A9D計算シート'!$B$34:$I$43</definedName>
    <definedName name="【研修日数】" comment="セル範囲">'9D･A9D計算シート'!$N$15:$W$27</definedName>
    <definedName name="【研修旅行】">'9D･A9D計算シート'!$P$33:$Q$34</definedName>
    <definedName name="【国内移動費】">'9D･A9D計算シート'!$K$5:$M$7</definedName>
    <definedName name="【雑費】" comment="金額">'9D･A9D計算シート'!$D$20</definedName>
    <definedName name="【実地研修中の宿泊】" comment="試算条件">'9D･A9D計算シート'!$B$24</definedName>
    <definedName name="【宿舎費_会社施設】" comment="金額">'9D･A9D計算シート'!$D$27</definedName>
    <definedName name="【宿舎費_外部宿舎】" comment="金額">'9D･A9D計算シート'!$D$28</definedName>
    <definedName name="【宿舎費_研修センター】" comment="金額">'9D･A9D計算シート'!$D$26</definedName>
    <definedName name="【宿舎費_研修旅行中】" comment="金額">'9D･A9D計算シート'!$D$29</definedName>
    <definedName name="【食費_昼食】" comment="金額">'9D･A9D計算シート'!$D$18</definedName>
    <definedName name="【食費_朝食】" comment="金額">'9D･A9D計算シート'!$D$17</definedName>
    <definedName name="【食費_夕食】" comment="金額">'9D･A9D計算シート'!$D$19</definedName>
    <definedName name="【日程表】" comment="セル範囲">'9D･A9D計算シート'!$B$50:$G$62</definedName>
    <definedName name="【日程表項番】" comment="試算条件">'9D･A9D計算シート'!$B$47</definedName>
    <definedName name="_xlnm.Print_Area" localSheetId="1">'9D･A9D月別受入費明細'!$A$1:$AF$48</definedName>
    <definedName name="_xlnm.Print_Area" localSheetId="0">'9D･A9D費用試算'!$A$1:$Z$61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" l="1"/>
  <c r="H43" i="7" l="1"/>
  <c r="H36" i="7" l="1"/>
  <c r="E43" i="7"/>
  <c r="H45" i="2"/>
  <c r="H36" i="2"/>
  <c r="H42" i="7"/>
  <c r="E42" i="7"/>
  <c r="H41" i="7"/>
  <c r="E41" i="7"/>
  <c r="H40" i="7"/>
  <c r="E40" i="7"/>
  <c r="H39" i="7"/>
  <c r="E39" i="7"/>
  <c r="H38" i="7"/>
  <c r="E38" i="7"/>
  <c r="H37" i="7"/>
  <c r="E37" i="7"/>
  <c r="E36" i="7"/>
  <c r="E41" i="8" l="1"/>
  <c r="AF41" i="8" s="1"/>
  <c r="C62" i="7" l="1"/>
  <c r="C61" i="7"/>
  <c r="C60" i="7"/>
  <c r="C59" i="7"/>
  <c r="F12" i="2" l="1"/>
  <c r="I35" i="2" s="1"/>
  <c r="I57" i="2" s="1"/>
  <c r="G3" i="2" l="1"/>
  <c r="F3" i="8" s="1"/>
  <c r="M3" i="2"/>
  <c r="F1" i="8" s="1"/>
  <c r="Q43" i="2" l="1"/>
  <c r="Y51" i="2" s="1"/>
  <c r="D18" i="8"/>
  <c r="I56" i="2" l="1"/>
  <c r="H56" i="2"/>
  <c r="J56" i="2" s="1"/>
  <c r="I55" i="2"/>
  <c r="H55" i="2"/>
  <c r="J55" i="2" s="1"/>
  <c r="I53" i="2"/>
  <c r="J45" i="2"/>
  <c r="I34" i="2"/>
  <c r="H34" i="2"/>
  <c r="H33" i="2"/>
  <c r="G33" i="2"/>
  <c r="D22" i="8" s="1"/>
  <c r="J31" i="2"/>
  <c r="J30" i="2"/>
  <c r="H29" i="2"/>
  <c r="H54" i="2" s="1"/>
  <c r="H28" i="2"/>
  <c r="H53" i="2" s="1"/>
  <c r="G41" i="8"/>
  <c r="L25" i="2"/>
  <c r="K26" i="2" s="1"/>
  <c r="M17" i="2"/>
  <c r="Q35" i="2"/>
  <c r="U35" i="2"/>
  <c r="Z35" i="2" s="1"/>
  <c r="M11" i="2"/>
  <c r="H32" i="2" s="1"/>
  <c r="J11" i="2"/>
  <c r="J37" i="2" l="1"/>
  <c r="H58" i="2"/>
  <c r="W6" i="2"/>
  <c r="J53" i="2"/>
  <c r="J34" i="2"/>
  <c r="K34" i="2" s="1"/>
  <c r="Q44" i="2"/>
  <c r="Y52" i="2" s="1"/>
  <c r="U40" i="2"/>
  <c r="Z40" i="2"/>
  <c r="J28" i="2"/>
  <c r="K30" i="2"/>
  <c r="K31" i="2"/>
  <c r="W14" i="2" l="1"/>
  <c r="W7" i="2"/>
  <c r="W8" i="2" s="1"/>
  <c r="E42" i="8"/>
  <c r="K37" i="2"/>
  <c r="E25" i="8"/>
  <c r="U38" i="2"/>
  <c r="Z38" i="2" s="1"/>
  <c r="K28" i="2"/>
  <c r="G62" i="7" l="1"/>
  <c r="H62" i="7" s="1"/>
  <c r="G61" i="7"/>
  <c r="H61" i="7" s="1"/>
  <c r="M5" i="7"/>
  <c r="G42" i="8" s="1"/>
  <c r="G60" i="7" l="1"/>
  <c r="H60" i="7" s="1"/>
  <c r="G59" i="7"/>
  <c r="H59" i="7" s="1"/>
  <c r="G58" i="7"/>
  <c r="H58" i="7" s="1"/>
  <c r="C58" i="7" s="1"/>
  <c r="G57" i="7"/>
  <c r="H57" i="7" s="1"/>
  <c r="C57" i="7" s="1"/>
  <c r="D27" i="8" l="1"/>
  <c r="N25" i="2" l="1"/>
  <c r="M26" i="2" s="1"/>
  <c r="Q41" i="2"/>
  <c r="Y49" i="2" s="1"/>
  <c r="C10" i="7"/>
  <c r="C8" i="7"/>
  <c r="M37" i="2" l="1"/>
  <c r="M30" i="2"/>
  <c r="M31" i="2"/>
  <c r="M34" i="2"/>
  <c r="M28" i="2"/>
  <c r="E20" i="8"/>
  <c r="G20" i="8" l="1"/>
  <c r="G53" i="7" l="1"/>
  <c r="H53" i="7" s="1"/>
  <c r="C53" i="7" s="1"/>
  <c r="C6" i="7"/>
  <c r="G56" i="7"/>
  <c r="H56" i="7" s="1"/>
  <c r="C56" i="7" s="1"/>
  <c r="M7" i="7"/>
  <c r="M6" i="7"/>
  <c r="G13" i="8"/>
  <c r="O5" i="7"/>
  <c r="C5" i="7"/>
  <c r="E28" i="8"/>
  <c r="G28" i="8" s="1"/>
  <c r="AF28" i="8" s="1"/>
  <c r="E15" i="8"/>
  <c r="E16" i="8"/>
  <c r="E23" i="8"/>
  <c r="G51" i="7"/>
  <c r="H51" i="7" s="1"/>
  <c r="C51" i="7" s="1"/>
  <c r="G52" i="7"/>
  <c r="G54" i="7"/>
  <c r="H54" i="7" s="1"/>
  <c r="C54" i="7" s="1"/>
  <c r="G55" i="7"/>
  <c r="H55" i="7" s="1"/>
  <c r="C55" i="7" s="1"/>
  <c r="G50" i="7"/>
  <c r="B45" i="8" l="1"/>
  <c r="S75" i="7"/>
  <c r="S73" i="7"/>
  <c r="S60" i="7"/>
  <c r="S58" i="7"/>
  <c r="S56" i="7"/>
  <c r="S54" i="7"/>
  <c r="S52" i="7"/>
  <c r="S50" i="7"/>
  <c r="S48" i="7"/>
  <c r="S46" i="7"/>
  <c r="S44" i="7"/>
  <c r="S42" i="7"/>
  <c r="S40" i="7"/>
  <c r="S38" i="7"/>
  <c r="S36" i="7"/>
  <c r="S74" i="7"/>
  <c r="S61" i="7"/>
  <c r="S59" i="7"/>
  <c r="S57" i="7"/>
  <c r="S55" i="7"/>
  <c r="S53" i="7"/>
  <c r="S51" i="7"/>
  <c r="S49" i="7"/>
  <c r="S47" i="7"/>
  <c r="S45" i="7"/>
  <c r="S43" i="7"/>
  <c r="S41" i="7"/>
  <c r="S39" i="7"/>
  <c r="S37" i="7"/>
  <c r="S35" i="7"/>
  <c r="C9" i="7"/>
  <c r="C13" i="7" s="1"/>
  <c r="C12" i="7" s="1"/>
  <c r="H50" i="7"/>
  <c r="C50" i="7" s="1"/>
  <c r="I29" i="2"/>
  <c r="J29" i="2" s="1"/>
  <c r="H52" i="7"/>
  <c r="C52" i="7" s="1"/>
  <c r="F9" i="2"/>
  <c r="E45" i="8"/>
  <c r="E13" i="8"/>
  <c r="L15" i="7"/>
  <c r="M15" i="7"/>
  <c r="E5" i="7"/>
  <c r="G39" i="8"/>
  <c r="C7" i="7" l="1"/>
  <c r="H3" i="8" s="1"/>
  <c r="I54" i="2"/>
  <c r="J54" i="2" s="1"/>
  <c r="E14" i="8" s="1"/>
  <c r="C11" i="7"/>
  <c r="F45" i="8"/>
  <c r="G45" i="8" s="1"/>
  <c r="G46" i="8" s="1"/>
  <c r="B24" i="8"/>
  <c r="M29" i="2"/>
  <c r="K29" i="2"/>
  <c r="I36" i="2"/>
  <c r="J36" i="2" s="1"/>
  <c r="E24" i="8" s="1"/>
  <c r="I33" i="2"/>
  <c r="I32" i="2"/>
  <c r="C14" i="7"/>
  <c r="I39" i="8"/>
  <c r="M8" i="7"/>
  <c r="O15" i="7"/>
  <c r="P15" i="7" s="1"/>
  <c r="Q15" i="7" s="1"/>
  <c r="R15" i="7" s="1"/>
  <c r="L16" i="7"/>
  <c r="M16" i="7"/>
  <c r="N15" i="7"/>
  <c r="H39" i="8" l="1"/>
  <c r="U33" i="7"/>
  <c r="T33" i="7"/>
  <c r="D11" i="7"/>
  <c r="O33" i="7"/>
  <c r="J32" i="2"/>
  <c r="W10" i="2" s="1"/>
  <c r="W11" i="2" s="1"/>
  <c r="I58" i="2"/>
  <c r="J58" i="2" s="1"/>
  <c r="E14" i="7"/>
  <c r="J33" i="2"/>
  <c r="M33" i="2" s="1"/>
  <c r="W17" i="2"/>
  <c r="M36" i="2"/>
  <c r="K36" i="2"/>
  <c r="U39" i="2"/>
  <c r="Z39" i="2" s="1"/>
  <c r="F14" i="2"/>
  <c r="H4" i="8" s="1"/>
  <c r="B44" i="8"/>
  <c r="E43" i="8"/>
  <c r="L5" i="7"/>
  <c r="K5" i="7" s="1"/>
  <c r="S15" i="7"/>
  <c r="T15" i="7"/>
  <c r="O16" i="7"/>
  <c r="P16" i="7" s="1"/>
  <c r="Q16" i="7" s="1"/>
  <c r="R16" i="7" s="1"/>
  <c r="L17" i="7"/>
  <c r="M17" i="7"/>
  <c r="N16" i="7"/>
  <c r="K32" i="2" l="1"/>
  <c r="M32" i="2"/>
  <c r="W13" i="2"/>
  <c r="W15" i="2" s="1"/>
  <c r="U36" i="2"/>
  <c r="Z36" i="2" s="1"/>
  <c r="W18" i="2"/>
  <c r="W19" i="2" s="1"/>
  <c r="S71" i="7"/>
  <c r="S64" i="7"/>
  <c r="S68" i="7"/>
  <c r="S72" i="7"/>
  <c r="S65" i="7"/>
  <c r="S69" i="7"/>
  <c r="S66" i="7"/>
  <c r="S70" i="7"/>
  <c r="S63" i="7"/>
  <c r="S67" i="7"/>
  <c r="S62" i="7"/>
  <c r="K33" i="2"/>
  <c r="U37" i="2"/>
  <c r="Z37" i="2" s="1"/>
  <c r="O34" i="7"/>
  <c r="P33" i="7"/>
  <c r="Q33" i="7"/>
  <c r="U15" i="7"/>
  <c r="V15" i="7" s="1"/>
  <c r="W15" i="7" s="1"/>
  <c r="E22" i="8"/>
  <c r="E18" i="8"/>
  <c r="E44" i="8"/>
  <c r="E46" i="8" s="1"/>
  <c r="S16" i="7"/>
  <c r="T16" i="7"/>
  <c r="O17" i="7"/>
  <c r="P17" i="7" s="1"/>
  <c r="Q17" i="7" s="1"/>
  <c r="R17" i="7" s="1"/>
  <c r="L18" i="7"/>
  <c r="M18" i="7"/>
  <c r="N17" i="7"/>
  <c r="Z41" i="2" l="1"/>
  <c r="U41" i="2"/>
  <c r="J35" i="2"/>
  <c r="J38" i="2" s="1"/>
  <c r="F10" i="8"/>
  <c r="U16" i="7"/>
  <c r="H10" i="8" s="1"/>
  <c r="Q34" i="7"/>
  <c r="P34" i="7"/>
  <c r="E21" i="8"/>
  <c r="E26" i="8" s="1"/>
  <c r="F9" i="8"/>
  <c r="F21" i="8" s="1"/>
  <c r="G21" i="8" s="1"/>
  <c r="F8" i="8"/>
  <c r="F14" i="8" s="1"/>
  <c r="S17" i="7"/>
  <c r="T17" i="7"/>
  <c r="O18" i="7"/>
  <c r="P18" i="7" s="1"/>
  <c r="Q18" i="7" s="1"/>
  <c r="R18" i="7" s="1"/>
  <c r="L19" i="7"/>
  <c r="M19" i="7"/>
  <c r="N18" i="7"/>
  <c r="S29" i="2" l="1"/>
  <c r="F23" i="8"/>
  <c r="G23" i="8" s="1"/>
  <c r="K35" i="2"/>
  <c r="J57" i="2"/>
  <c r="E17" i="8" s="1"/>
  <c r="E19" i="8" s="1"/>
  <c r="M35" i="2"/>
  <c r="M38" i="2" s="1"/>
  <c r="F7" i="8"/>
  <c r="F6" i="8" s="1"/>
  <c r="F15" i="8" s="1"/>
  <c r="V16" i="7"/>
  <c r="W16" i="7" s="1"/>
  <c r="H9" i="8" s="1"/>
  <c r="H21" i="8" s="1"/>
  <c r="I21" i="8" s="1"/>
  <c r="U17" i="7"/>
  <c r="F22" i="8"/>
  <c r="G22" i="8" s="1"/>
  <c r="F18" i="8"/>
  <c r="G18" i="8" s="1"/>
  <c r="S18" i="7"/>
  <c r="T18" i="7"/>
  <c r="O19" i="7"/>
  <c r="P19" i="7" s="1"/>
  <c r="Q19" i="7" s="1"/>
  <c r="R19" i="7" s="1"/>
  <c r="L20" i="7"/>
  <c r="M20" i="7"/>
  <c r="N19" i="7"/>
  <c r="H7" i="8"/>
  <c r="H6" i="8" s="1"/>
  <c r="H23" i="8"/>
  <c r="I23" i="8" s="1"/>
  <c r="F24" i="8"/>
  <c r="G24" i="8" s="1"/>
  <c r="K38" i="2" l="1"/>
  <c r="Q34" i="2" s="1"/>
  <c r="J59" i="2"/>
  <c r="U31" i="2" s="1"/>
  <c r="U32" i="2"/>
  <c r="Q40" i="2"/>
  <c r="Y48" i="2" s="1"/>
  <c r="J44" i="2"/>
  <c r="J47" i="2" s="1"/>
  <c r="G15" i="8"/>
  <c r="F16" i="8"/>
  <c r="G16" i="8" s="1"/>
  <c r="H8" i="8"/>
  <c r="H14" i="8" s="1"/>
  <c r="I14" i="8" s="1"/>
  <c r="H15" i="8"/>
  <c r="H16" i="8" s="1"/>
  <c r="I16" i="8" s="1"/>
  <c r="V17" i="7"/>
  <c r="W17" i="7" s="1"/>
  <c r="J9" i="8" s="1"/>
  <c r="J21" i="8" s="1"/>
  <c r="K21" i="8" s="1"/>
  <c r="J10" i="8"/>
  <c r="H24" i="8"/>
  <c r="I24" i="8" s="1"/>
  <c r="U18" i="7"/>
  <c r="L10" i="8" s="1"/>
  <c r="H22" i="8"/>
  <c r="I22" i="8" s="1"/>
  <c r="H18" i="8"/>
  <c r="I18" i="8" s="1"/>
  <c r="G14" i="8"/>
  <c r="S19" i="7"/>
  <c r="T19" i="7"/>
  <c r="O20" i="7"/>
  <c r="P20" i="7" s="1"/>
  <c r="Q20" i="7" s="1"/>
  <c r="R20" i="7" s="1"/>
  <c r="L21" i="7"/>
  <c r="M21" i="7"/>
  <c r="N20" i="7"/>
  <c r="E27" i="8" l="1"/>
  <c r="E29" i="8" s="1"/>
  <c r="E30" i="8" s="1"/>
  <c r="U33" i="2"/>
  <c r="V38" i="2" s="1"/>
  <c r="J23" i="8"/>
  <c r="K23" i="8" s="1"/>
  <c r="Y46" i="2"/>
  <c r="V49" i="2"/>
  <c r="I15" i="8"/>
  <c r="J8" i="8"/>
  <c r="J14" i="8" s="1"/>
  <c r="K14" i="8" s="1"/>
  <c r="J7" i="8"/>
  <c r="J6" i="8" s="1"/>
  <c r="V18" i="7"/>
  <c r="W18" i="7" s="1"/>
  <c r="L9" i="8" s="1"/>
  <c r="L21" i="8" s="1"/>
  <c r="M21" i="8" s="1"/>
  <c r="J24" i="8"/>
  <c r="K24" i="8" s="1"/>
  <c r="U19" i="7"/>
  <c r="J22" i="8"/>
  <c r="K22" i="8" s="1"/>
  <c r="J18" i="8"/>
  <c r="K18" i="8" s="1"/>
  <c r="H45" i="8"/>
  <c r="H44" i="8"/>
  <c r="S20" i="7"/>
  <c r="T20" i="7"/>
  <c r="O21" i="7"/>
  <c r="P21" i="7" s="1"/>
  <c r="Q21" i="7" s="1"/>
  <c r="R21" i="7" s="1"/>
  <c r="L22" i="7"/>
  <c r="M22" i="7"/>
  <c r="N21" i="7"/>
  <c r="L7" i="8"/>
  <c r="L6" i="8" s="1"/>
  <c r="L23" i="8"/>
  <c r="M23" i="8" s="1"/>
  <c r="V19" i="7" l="1"/>
  <c r="W19" i="7" s="1"/>
  <c r="N9" i="8" s="1"/>
  <c r="N21" i="8" s="1"/>
  <c r="O21" i="8" s="1"/>
  <c r="W55" i="2"/>
  <c r="W56" i="2" s="1"/>
  <c r="N10" i="8"/>
  <c r="N23" i="8" s="1"/>
  <c r="O23" i="8" s="1"/>
  <c r="L8" i="8"/>
  <c r="L14" i="8" s="1"/>
  <c r="M14" i="8" s="1"/>
  <c r="U20" i="7"/>
  <c r="P10" i="8" s="1"/>
  <c r="L22" i="8"/>
  <c r="M22" i="8" s="1"/>
  <c r="L18" i="8"/>
  <c r="M18" i="8" s="1"/>
  <c r="I44" i="8"/>
  <c r="J39" i="8"/>
  <c r="I45" i="8"/>
  <c r="L24" i="8"/>
  <c r="M24" i="8" s="1"/>
  <c r="S21" i="7"/>
  <c r="T21" i="7"/>
  <c r="O22" i="7"/>
  <c r="P22" i="7" s="1"/>
  <c r="Q22" i="7" s="1"/>
  <c r="R22" i="7" s="1"/>
  <c r="L23" i="7"/>
  <c r="M23" i="7"/>
  <c r="N22" i="7"/>
  <c r="N8" i="8" l="1"/>
  <c r="N14" i="8" s="1"/>
  <c r="O14" i="8" s="1"/>
  <c r="N7" i="8"/>
  <c r="N6" i="8" s="1"/>
  <c r="N24" i="8"/>
  <c r="O24" i="8" s="1"/>
  <c r="V20" i="7"/>
  <c r="P8" i="8" s="1"/>
  <c r="P14" i="8" s="1"/>
  <c r="Q14" i="8" s="1"/>
  <c r="U21" i="7"/>
  <c r="R10" i="8" s="1"/>
  <c r="N22" i="8"/>
  <c r="O22" i="8" s="1"/>
  <c r="N18" i="8"/>
  <c r="O18" i="8" s="1"/>
  <c r="J43" i="8"/>
  <c r="J45" i="8"/>
  <c r="K45" i="8" s="1"/>
  <c r="J44" i="8"/>
  <c r="K44" i="8" s="1"/>
  <c r="S22" i="7"/>
  <c r="T22" i="7"/>
  <c r="O23" i="7"/>
  <c r="P23" i="7" s="1"/>
  <c r="Q23" i="7" s="1"/>
  <c r="R23" i="7" s="1"/>
  <c r="L24" i="7"/>
  <c r="M24" i="7"/>
  <c r="N23" i="7"/>
  <c r="P7" i="8"/>
  <c r="P6" i="8" s="1"/>
  <c r="P23" i="8"/>
  <c r="Q23" i="8" s="1"/>
  <c r="W20" i="7" l="1"/>
  <c r="P9" i="8" s="1"/>
  <c r="P21" i="8" s="1"/>
  <c r="Q21" i="8" s="1"/>
  <c r="V21" i="7"/>
  <c r="W21" i="7" s="1"/>
  <c r="R9" i="8" s="1"/>
  <c r="R21" i="8" s="1"/>
  <c r="S21" i="8" s="1"/>
  <c r="U22" i="7"/>
  <c r="T10" i="8" s="1"/>
  <c r="P18" i="8"/>
  <c r="Q18" i="8" s="1"/>
  <c r="R7" i="8"/>
  <c r="R6" i="8" s="1"/>
  <c r="R23" i="8"/>
  <c r="S23" i="8" s="1"/>
  <c r="S23" i="7"/>
  <c r="T23" i="7"/>
  <c r="O24" i="7"/>
  <c r="P24" i="7" s="1"/>
  <c r="Q24" i="7" s="1"/>
  <c r="R24" i="7" s="1"/>
  <c r="L25" i="7"/>
  <c r="M25" i="7"/>
  <c r="N24" i="7"/>
  <c r="P22" i="8" l="1"/>
  <c r="Q22" i="8" s="1"/>
  <c r="P24" i="8"/>
  <c r="Q24" i="8" s="1"/>
  <c r="R8" i="8"/>
  <c r="R14" i="8" s="1"/>
  <c r="S14" i="8" s="1"/>
  <c r="V22" i="7"/>
  <c r="W22" i="7" s="1"/>
  <c r="T9" i="8" s="1"/>
  <c r="T21" i="8" s="1"/>
  <c r="U21" i="8" s="1"/>
  <c r="U23" i="7"/>
  <c r="V10" i="8" s="1"/>
  <c r="R24" i="8"/>
  <c r="S24" i="8" s="1"/>
  <c r="R22" i="8"/>
  <c r="S22" i="8" s="1"/>
  <c r="R18" i="8"/>
  <c r="S18" i="8" s="1"/>
  <c r="S24" i="7"/>
  <c r="T24" i="7"/>
  <c r="O25" i="7"/>
  <c r="P25" i="7" s="1"/>
  <c r="Q25" i="7" s="1"/>
  <c r="R25" i="7" s="1"/>
  <c r="L26" i="7"/>
  <c r="M26" i="7"/>
  <c r="N25" i="7"/>
  <c r="T7" i="8"/>
  <c r="T6" i="8" s="1"/>
  <c r="T23" i="8"/>
  <c r="U23" i="8" s="1"/>
  <c r="T8" i="8" l="1"/>
  <c r="T14" i="8" s="1"/>
  <c r="U14" i="8" s="1"/>
  <c r="V23" i="7"/>
  <c r="W23" i="7" s="1"/>
  <c r="V9" i="8" s="1"/>
  <c r="V21" i="8" s="1"/>
  <c r="W21" i="8" s="1"/>
  <c r="U24" i="7"/>
  <c r="X10" i="8" s="1"/>
  <c r="T22" i="8"/>
  <c r="U22" i="8" s="1"/>
  <c r="T18" i="8"/>
  <c r="U18" i="8" s="1"/>
  <c r="T24" i="8"/>
  <c r="U24" i="8" s="1"/>
  <c r="V7" i="8"/>
  <c r="V6" i="8" s="1"/>
  <c r="V23" i="8"/>
  <c r="W23" i="8" s="1"/>
  <c r="S25" i="7"/>
  <c r="T25" i="7"/>
  <c r="O26" i="7"/>
  <c r="P26" i="7" s="1"/>
  <c r="Q26" i="7" s="1"/>
  <c r="R26" i="7" s="1"/>
  <c r="L27" i="7"/>
  <c r="M27" i="7"/>
  <c r="O27" i="7" s="1"/>
  <c r="N26" i="7"/>
  <c r="V8" i="8" l="1"/>
  <c r="V14" i="8" s="1"/>
  <c r="W14" i="8" s="1"/>
  <c r="U25" i="7"/>
  <c r="Z10" i="8" s="1"/>
  <c r="V24" i="7"/>
  <c r="W24" i="7" s="1"/>
  <c r="X9" i="8" s="1"/>
  <c r="V24" i="8"/>
  <c r="W24" i="8" s="1"/>
  <c r="V22" i="8"/>
  <c r="W22" i="8" s="1"/>
  <c r="V18" i="8"/>
  <c r="W18" i="8" s="1"/>
  <c r="S26" i="7"/>
  <c r="T26" i="7"/>
  <c r="P27" i="7"/>
  <c r="Q27" i="7" s="1"/>
  <c r="R27" i="7" s="1"/>
  <c r="N27" i="7"/>
  <c r="X7" i="8"/>
  <c r="X6" i="8" s="1"/>
  <c r="X23" i="8"/>
  <c r="Y23" i="8" s="1"/>
  <c r="X8" i="8" l="1"/>
  <c r="X14" i="8" s="1"/>
  <c r="Y14" i="8" s="1"/>
  <c r="V25" i="7"/>
  <c r="W25" i="7" s="1"/>
  <c r="Z9" i="8" s="1"/>
  <c r="Z21" i="8" s="1"/>
  <c r="AA21" i="8" s="1"/>
  <c r="U26" i="7"/>
  <c r="AB10" i="8" s="1"/>
  <c r="X21" i="8"/>
  <c r="Y21" i="8" s="1"/>
  <c r="X24" i="8"/>
  <c r="Y24" i="8" s="1"/>
  <c r="X22" i="8"/>
  <c r="Y22" i="8" s="1"/>
  <c r="X18" i="8"/>
  <c r="Y18" i="8" s="1"/>
  <c r="Z7" i="8"/>
  <c r="Z6" i="8" s="1"/>
  <c r="Z23" i="8"/>
  <c r="AA23" i="8" s="1"/>
  <c r="S27" i="7"/>
  <c r="T27" i="7"/>
  <c r="V26" i="7" l="1"/>
  <c r="W26" i="7" s="1"/>
  <c r="AB9" i="8" s="1"/>
  <c r="AB21" i="8" s="1"/>
  <c r="AC21" i="8" s="1"/>
  <c r="Z8" i="8"/>
  <c r="Z14" i="8" s="1"/>
  <c r="AA14" i="8" s="1"/>
  <c r="Z24" i="8"/>
  <c r="AA24" i="8" s="1"/>
  <c r="U27" i="7"/>
  <c r="AD10" i="8" s="1"/>
  <c r="Z22" i="8"/>
  <c r="AA22" i="8" s="1"/>
  <c r="Z18" i="8"/>
  <c r="AA18" i="8" s="1"/>
  <c r="AB7" i="8"/>
  <c r="AB6" i="8" s="1"/>
  <c r="AB23" i="8"/>
  <c r="AC23" i="8" s="1"/>
  <c r="AD23" i="8" l="1"/>
  <c r="AE23" i="8" s="1"/>
  <c r="AB8" i="8"/>
  <c r="AB14" i="8" s="1"/>
  <c r="AC14" i="8" s="1"/>
  <c r="V27" i="7"/>
  <c r="W27" i="7" s="1"/>
  <c r="L6" i="7" s="1"/>
  <c r="U28" i="7"/>
  <c r="AB24" i="8"/>
  <c r="AC24" i="8" s="1"/>
  <c r="AB22" i="8"/>
  <c r="AC22" i="8" s="1"/>
  <c r="AB18" i="8"/>
  <c r="AC18" i="8" s="1"/>
  <c r="H43" i="8"/>
  <c r="I43" i="8" s="1"/>
  <c r="K43" i="8"/>
  <c r="L7" i="7"/>
  <c r="AD7" i="8"/>
  <c r="AD6" i="8" s="1"/>
  <c r="AF10" i="8"/>
  <c r="K6" i="7" l="1"/>
  <c r="I42" i="8"/>
  <c r="I46" i="8" s="1"/>
  <c r="K42" i="8"/>
  <c r="K46" i="8" s="1"/>
  <c r="G17" i="8"/>
  <c r="I17" i="8"/>
  <c r="I19" i="8" s="1"/>
  <c r="M17" i="8"/>
  <c r="M19" i="8" s="1"/>
  <c r="K17" i="8"/>
  <c r="K19" i="8" s="1"/>
  <c r="Q17" i="8"/>
  <c r="Q19" i="8" s="1"/>
  <c r="O17" i="8"/>
  <c r="O19" i="8" s="1"/>
  <c r="S17" i="8"/>
  <c r="S19" i="8" s="1"/>
  <c r="U17" i="8"/>
  <c r="U19" i="8" s="1"/>
  <c r="W17" i="8"/>
  <c r="W19" i="8" s="1"/>
  <c r="Y17" i="8"/>
  <c r="Y19" i="8" s="1"/>
  <c r="AA17" i="8"/>
  <c r="AA19" i="8" s="1"/>
  <c r="AC17" i="8"/>
  <c r="AC19" i="8" s="1"/>
  <c r="AE17" i="8"/>
  <c r="AD8" i="8"/>
  <c r="AD14" i="8" s="1"/>
  <c r="AE14" i="8" s="1"/>
  <c r="AF14" i="8" s="1"/>
  <c r="V28" i="7"/>
  <c r="W28" i="7"/>
  <c r="AD9" i="8"/>
  <c r="AD21" i="8" s="1"/>
  <c r="AE21" i="8" s="1"/>
  <c r="AF15" i="8"/>
  <c r="K7" i="7"/>
  <c r="G25" i="8" l="1"/>
  <c r="G26" i="8" s="1"/>
  <c r="G19" i="8"/>
  <c r="AF17" i="8"/>
  <c r="Y25" i="8"/>
  <c r="Y26" i="8" s="1"/>
  <c r="Y27" i="8" s="1"/>
  <c r="Q25" i="8"/>
  <c r="Q26" i="8" s="1"/>
  <c r="Q27" i="8" s="1"/>
  <c r="I25" i="8"/>
  <c r="I26" i="8" s="1"/>
  <c r="I27" i="8" s="1"/>
  <c r="AD24" i="8"/>
  <c r="AE24" i="8" s="1"/>
  <c r="AF8" i="8"/>
  <c r="AF16" i="8"/>
  <c r="AC25" i="8"/>
  <c r="AC26" i="8" s="1"/>
  <c r="AC27" i="8" s="1"/>
  <c r="U25" i="8"/>
  <c r="U26" i="8" s="1"/>
  <c r="U27" i="8" s="1"/>
  <c r="M25" i="8"/>
  <c r="M26" i="8" s="1"/>
  <c r="M27" i="8" s="1"/>
  <c r="AE25" i="8"/>
  <c r="AA25" i="8"/>
  <c r="AA26" i="8" s="1"/>
  <c r="AA27" i="8" s="1"/>
  <c r="W25" i="8"/>
  <c r="W26" i="8" s="1"/>
  <c r="W27" i="8" s="1"/>
  <c r="S25" i="8"/>
  <c r="S26" i="8" s="1"/>
  <c r="S27" i="8" s="1"/>
  <c r="O25" i="8"/>
  <c r="O26" i="8" s="1"/>
  <c r="O27" i="8" s="1"/>
  <c r="K25" i="8"/>
  <c r="K26" i="8" s="1"/>
  <c r="K27" i="8" s="1"/>
  <c r="AD22" i="8"/>
  <c r="AE22" i="8" s="1"/>
  <c r="AF9" i="8"/>
  <c r="AD18" i="8"/>
  <c r="L39" i="8"/>
  <c r="M42" i="8" s="1"/>
  <c r="G27" i="8" l="1"/>
  <c r="AE26" i="8"/>
  <c r="AF26" i="8" s="1"/>
  <c r="AE18" i="8"/>
  <c r="AF18" i="8" s="1"/>
  <c r="L45" i="8"/>
  <c r="M45" i="8" s="1"/>
  <c r="L43" i="8"/>
  <c r="M43" i="8" s="1"/>
  <c r="L44" i="8"/>
  <c r="M44" i="8" s="1"/>
  <c r="AE19" i="8" l="1"/>
  <c r="AF22" i="8" s="1"/>
  <c r="N39" i="8"/>
  <c r="AF24" i="8"/>
  <c r="M46" i="8"/>
  <c r="N45" i="8" l="1"/>
  <c r="O45" i="8" s="1"/>
  <c r="O42" i="8"/>
  <c r="AF21" i="8"/>
  <c r="AF20" i="8"/>
  <c r="AE27" i="8"/>
  <c r="AF23" i="8"/>
  <c r="AF19" i="8"/>
  <c r="AF25" i="8"/>
  <c r="N43" i="8"/>
  <c r="O43" i="8" s="1"/>
  <c r="N44" i="8"/>
  <c r="O44" i="8" s="1"/>
  <c r="O46" i="8" l="1"/>
  <c r="P39" i="8"/>
  <c r="AF13" i="8"/>
  <c r="P45" i="8" l="1"/>
  <c r="Q45" i="8" s="1"/>
  <c r="Q42" i="8"/>
  <c r="P43" i="8"/>
  <c r="Q43" i="8" s="1"/>
  <c r="P44" i="8"/>
  <c r="Q44" i="8" s="1"/>
  <c r="Q46" i="8" l="1"/>
  <c r="R39" i="8"/>
  <c r="S42" i="8" s="1"/>
  <c r="R44" i="8" l="1"/>
  <c r="R43" i="8"/>
  <c r="S43" i="8" s="1"/>
  <c r="R45" i="8"/>
  <c r="S45" i="8" s="1"/>
  <c r="S44" i="8" l="1"/>
  <c r="S46" i="8" s="1"/>
  <c r="T39" i="8" l="1"/>
  <c r="T45" i="8" l="1"/>
  <c r="U45" i="8" s="1"/>
  <c r="U42" i="8"/>
  <c r="T43" i="8"/>
  <c r="U43" i="8" s="1"/>
  <c r="T44" i="8"/>
  <c r="U44" i="8" s="1"/>
  <c r="V39" i="8" l="1"/>
  <c r="U46" i="8"/>
  <c r="V44" i="8" l="1"/>
  <c r="W44" i="8" s="1"/>
  <c r="W42" i="8"/>
  <c r="V45" i="8"/>
  <c r="W45" i="8" s="1"/>
  <c r="V43" i="8"/>
  <c r="W43" i="8" s="1"/>
  <c r="X39" i="8" l="1"/>
  <c r="W46" i="8"/>
  <c r="X45" i="8" l="1"/>
  <c r="Y45" i="8" s="1"/>
  <c r="Y42" i="8"/>
  <c r="X43" i="8"/>
  <c r="Y43" i="8" s="1"/>
  <c r="X44" i="8"/>
  <c r="Y44" i="8" s="1"/>
  <c r="G29" i="8"/>
  <c r="F30" i="8" s="1"/>
  <c r="AE29" i="8"/>
  <c r="AD30" i="8" s="1"/>
  <c r="AC29" i="8"/>
  <c r="AB30" i="8" s="1"/>
  <c r="AA29" i="8"/>
  <c r="Z30" i="8" s="1"/>
  <c r="Y29" i="8"/>
  <c r="X30" i="8" s="1"/>
  <c r="W29" i="8"/>
  <c r="V30" i="8" s="1"/>
  <c r="U29" i="8"/>
  <c r="T30" i="8" s="1"/>
  <c r="S29" i="8"/>
  <c r="R30" i="8" s="1"/>
  <c r="Q29" i="8"/>
  <c r="P30" i="8" s="1"/>
  <c r="O29" i="8"/>
  <c r="N30" i="8" s="1"/>
  <c r="M29" i="8"/>
  <c r="L30" i="8" s="1"/>
  <c r="K29" i="8"/>
  <c r="J30" i="8" s="1"/>
  <c r="Z39" i="8" l="1"/>
  <c r="Y46" i="8"/>
  <c r="AF27" i="8"/>
  <c r="I29" i="8"/>
  <c r="Z44" i="8" l="1"/>
  <c r="AA44" i="8" s="1"/>
  <c r="AA42" i="8"/>
  <c r="AF29" i="8"/>
  <c r="H30" i="8"/>
  <c r="Z43" i="8"/>
  <c r="AA43" i="8" s="1"/>
  <c r="Z45" i="8"/>
  <c r="AA45" i="8" s="1"/>
  <c r="F31" i="8"/>
  <c r="H31" i="8" l="1"/>
  <c r="J31" i="8" s="1"/>
  <c r="L31" i="8" s="1"/>
  <c r="N31" i="8" s="1"/>
  <c r="P31" i="8" s="1"/>
  <c r="R31" i="8" s="1"/>
  <c r="T31" i="8" s="1"/>
  <c r="V31" i="8" s="1"/>
  <c r="X31" i="8" s="1"/>
  <c r="Z31" i="8" s="1"/>
  <c r="AB31" i="8" s="1"/>
  <c r="AD31" i="8" s="1"/>
  <c r="AB39" i="8"/>
  <c r="AC42" i="8" s="1"/>
  <c r="AA46" i="8"/>
  <c r="AF30" i="8"/>
  <c r="AB45" i="8" l="1"/>
  <c r="AC45" i="8" s="1"/>
  <c r="AB43" i="8"/>
  <c r="AC43" i="8" s="1"/>
  <c r="AB44" i="8"/>
  <c r="AC44" i="8" l="1"/>
  <c r="AD39" i="8" s="1"/>
  <c r="AE42" i="8" s="1"/>
  <c r="AF42" i="8" s="1"/>
  <c r="AC46" i="8" l="1"/>
  <c r="AD43" i="8"/>
  <c r="AE43" i="8" s="1"/>
  <c r="AF43" i="8" s="1"/>
  <c r="AD44" i="8"/>
  <c r="AE44" i="8" s="1"/>
  <c r="AD45" i="8"/>
  <c r="AE45" i="8" s="1"/>
  <c r="AF44" i="8" l="1"/>
  <c r="AE46" i="8"/>
  <c r="AF45" i="8"/>
  <c r="AF46" i="8" l="1"/>
</calcChain>
</file>

<file path=xl/sharedStrings.xml><?xml version="1.0" encoding="utf-8"?>
<sst xmlns="http://schemas.openxmlformats.org/spreadsheetml/2006/main" count="466" uniqueCount="298">
  <si>
    <t>基準額</t>
  </si>
  <si>
    <t>費目</t>
    <rPh sb="0" eb="2">
      <t>ヒモク</t>
    </rPh>
    <phoneticPr fontId="2"/>
  </si>
  <si>
    <t>雑費</t>
    <rPh sb="0" eb="2">
      <t>ザッピ</t>
    </rPh>
    <phoneticPr fontId="2"/>
  </si>
  <si>
    <t>実地研修費</t>
    <rPh sb="0" eb="2">
      <t>ジッチ</t>
    </rPh>
    <rPh sb="2" eb="4">
      <t>ケンシュウ</t>
    </rPh>
    <rPh sb="4" eb="5">
      <t>ヒ</t>
    </rPh>
    <phoneticPr fontId="2"/>
  </si>
  <si>
    <t>計</t>
    <rPh sb="0" eb="1">
      <t>ケイ</t>
    </rPh>
    <phoneticPr fontId="2"/>
  </si>
  <si>
    <t>日数（一般研修）</t>
    <rPh sb="0" eb="2">
      <t>ニッスウ</t>
    </rPh>
    <rPh sb="3" eb="5">
      <t>イッパン</t>
    </rPh>
    <rPh sb="5" eb="7">
      <t>ケンシュウ</t>
    </rPh>
    <phoneticPr fontId="2"/>
  </si>
  <si>
    <t>日数（実地研修）</t>
    <rPh sb="0" eb="2">
      <t>ニッスウ</t>
    </rPh>
    <rPh sb="3" eb="5">
      <t>ジッチ</t>
    </rPh>
    <phoneticPr fontId="2"/>
  </si>
  <si>
    <t>全体研修期間</t>
    <rPh sb="0" eb="2">
      <t>ゼンタイ</t>
    </rPh>
    <rPh sb="2" eb="4">
      <t>ケンシュウ</t>
    </rPh>
    <rPh sb="4" eb="6">
      <t>キカン</t>
    </rPh>
    <phoneticPr fontId="2"/>
  </si>
  <si>
    <t>一般研修期間</t>
    <rPh sb="0" eb="2">
      <t>イッパン</t>
    </rPh>
    <rPh sb="2" eb="4">
      <t>ケンシュウ</t>
    </rPh>
    <rPh sb="4" eb="6">
      <t>キカン</t>
    </rPh>
    <phoneticPr fontId="2"/>
  </si>
  <si>
    <t>実地研修費</t>
    <rPh sb="0" eb="2">
      <t>ジッチ</t>
    </rPh>
    <rPh sb="2" eb="5">
      <t>ケンシュウヒ</t>
    </rPh>
    <phoneticPr fontId="2"/>
  </si>
  <si>
    <t>チェックイン当日</t>
    <rPh sb="6" eb="8">
      <t>トウジツ</t>
    </rPh>
    <phoneticPr fontId="2"/>
  </si>
  <si>
    <t>一般研修中</t>
    <rPh sb="0" eb="2">
      <t>イッパン</t>
    </rPh>
    <rPh sb="2" eb="5">
      <t>ケンシュウチュウ</t>
    </rPh>
    <phoneticPr fontId="2"/>
  </si>
  <si>
    <t>1ヶ月目</t>
    <rPh sb="2" eb="3">
      <t>ゲツ</t>
    </rPh>
    <rPh sb="3" eb="4">
      <t>メ</t>
    </rPh>
    <phoneticPr fontId="2"/>
  </si>
  <si>
    <t>2ヶ月目</t>
    <rPh sb="2" eb="3">
      <t>ゲツ</t>
    </rPh>
    <rPh sb="3" eb="4">
      <t>メ</t>
    </rPh>
    <phoneticPr fontId="2"/>
  </si>
  <si>
    <t>3ヶ月目</t>
    <rPh sb="2" eb="3">
      <t>ゲツ</t>
    </rPh>
    <rPh sb="3" eb="4">
      <t>メ</t>
    </rPh>
    <phoneticPr fontId="2"/>
  </si>
  <si>
    <t>4ヶ月目</t>
    <rPh sb="2" eb="3">
      <t>ゲツ</t>
    </rPh>
    <rPh sb="3" eb="4">
      <t>メ</t>
    </rPh>
    <phoneticPr fontId="2"/>
  </si>
  <si>
    <t>5ヶ月目</t>
    <rPh sb="2" eb="3">
      <t>ゲツ</t>
    </rPh>
    <rPh sb="3" eb="4">
      <t>メ</t>
    </rPh>
    <phoneticPr fontId="2"/>
  </si>
  <si>
    <t>6ヶ月目</t>
    <rPh sb="2" eb="3">
      <t>ゲツ</t>
    </rPh>
    <rPh sb="3" eb="4">
      <t>メ</t>
    </rPh>
    <phoneticPr fontId="2"/>
  </si>
  <si>
    <t>7ヶ月目</t>
    <rPh sb="2" eb="3">
      <t>ゲツ</t>
    </rPh>
    <rPh sb="3" eb="4">
      <t>メ</t>
    </rPh>
    <phoneticPr fontId="2"/>
  </si>
  <si>
    <t>8ヶ月目</t>
    <rPh sb="2" eb="3">
      <t>ゲツ</t>
    </rPh>
    <rPh sb="3" eb="4">
      <t>メ</t>
    </rPh>
    <phoneticPr fontId="2"/>
  </si>
  <si>
    <t>9ヶ月目</t>
    <rPh sb="2" eb="3">
      <t>ゲツ</t>
    </rPh>
    <rPh sb="3" eb="4">
      <t>メ</t>
    </rPh>
    <phoneticPr fontId="2"/>
  </si>
  <si>
    <t>10ヶ月目</t>
    <rPh sb="3" eb="4">
      <t>ゲツ</t>
    </rPh>
    <rPh sb="4" eb="5">
      <t>メ</t>
    </rPh>
    <phoneticPr fontId="2"/>
  </si>
  <si>
    <t>11ヶ月目</t>
    <rPh sb="3" eb="4">
      <t>ゲツ</t>
    </rPh>
    <rPh sb="4" eb="5">
      <t>メ</t>
    </rPh>
    <phoneticPr fontId="2"/>
  </si>
  <si>
    <t>12ヶ月目</t>
    <rPh sb="3" eb="4">
      <t>ゲツ</t>
    </rPh>
    <rPh sb="4" eb="5">
      <t>メ</t>
    </rPh>
    <phoneticPr fontId="2"/>
  </si>
  <si>
    <t>13ヶ月目</t>
    <rPh sb="3" eb="4">
      <t>ゲツ</t>
    </rPh>
    <rPh sb="4" eb="5">
      <t>メ</t>
    </rPh>
    <phoneticPr fontId="2"/>
  </si>
  <si>
    <t>日数計</t>
    <rPh sb="0" eb="2">
      <t>ニッスウ</t>
    </rPh>
    <rPh sb="2" eb="3">
      <t>ケイ</t>
    </rPh>
    <phoneticPr fontId="2"/>
  </si>
  <si>
    <t>滞在費</t>
    <rPh sb="0" eb="3">
      <t>タイザイヒ</t>
    </rPh>
    <phoneticPr fontId="2"/>
  </si>
  <si>
    <t>【期間情報】</t>
    <rPh sb="1" eb="3">
      <t>キカン</t>
    </rPh>
    <rPh sb="3" eb="5">
      <t>ジョウホウ</t>
    </rPh>
    <phoneticPr fontId="2"/>
  </si>
  <si>
    <t>【研修日数計算】</t>
    <rPh sb="1" eb="3">
      <t>ケンシュウ</t>
    </rPh>
    <rPh sb="3" eb="5">
      <t>ニッスウ</t>
    </rPh>
    <rPh sb="5" eb="7">
      <t>ケイサン</t>
    </rPh>
    <phoneticPr fontId="2"/>
  </si>
  <si>
    <t>宿舎費</t>
    <rPh sb="0" eb="2">
      <t>シュクシャ</t>
    </rPh>
    <rPh sb="2" eb="3">
      <t>ヒ</t>
    </rPh>
    <phoneticPr fontId="2"/>
  </si>
  <si>
    <t>金額</t>
    <rPh sb="0" eb="2">
      <t>キンガク</t>
    </rPh>
    <phoneticPr fontId="2"/>
  </si>
  <si>
    <t>単価（\）</t>
    <rPh sb="0" eb="2">
      <t>タンカ</t>
    </rPh>
    <phoneticPr fontId="2"/>
  </si>
  <si>
    <t>実地研修中</t>
    <rPh sb="0" eb="2">
      <t>ジッチ</t>
    </rPh>
    <rPh sb="2" eb="5">
      <t>ケンシュウチュウ</t>
    </rPh>
    <phoneticPr fontId="2"/>
  </si>
  <si>
    <t>宿舎費+食費</t>
    <rPh sb="0" eb="2">
      <t>シュクシャ</t>
    </rPh>
    <rPh sb="2" eb="3">
      <t>ヒ</t>
    </rPh>
    <rPh sb="4" eb="6">
      <t>ショクヒ</t>
    </rPh>
    <phoneticPr fontId="2"/>
  </si>
  <si>
    <t>センター滞在中</t>
    <rPh sb="4" eb="7">
      <t>タイザイチュウ</t>
    </rPh>
    <phoneticPr fontId="2"/>
  </si>
  <si>
    <t>研修旅行中</t>
    <rPh sb="0" eb="2">
      <t>ケンシュウ</t>
    </rPh>
    <rPh sb="2" eb="4">
      <t>リョコウ</t>
    </rPh>
    <rPh sb="4" eb="5">
      <t>チュウ</t>
    </rPh>
    <phoneticPr fontId="2"/>
  </si>
  <si>
    <t>食費</t>
  </si>
  <si>
    <t>受入企業負担額</t>
    <rPh sb="0" eb="2">
      <t>ウケイレ</t>
    </rPh>
    <rPh sb="2" eb="4">
      <t>キギョウ</t>
    </rPh>
    <rPh sb="4" eb="6">
      <t>フタン</t>
    </rPh>
    <rPh sb="6" eb="7">
      <t>ガク</t>
    </rPh>
    <phoneticPr fontId="2"/>
  </si>
  <si>
    <t>日数/回</t>
    <rPh sb="0" eb="2">
      <t>ニッスウ</t>
    </rPh>
    <rPh sb="3" eb="4">
      <t>カイ</t>
    </rPh>
    <phoneticPr fontId="2"/>
  </si>
  <si>
    <t>補助率：</t>
    <rPh sb="0" eb="2">
      <t>ホジョ</t>
    </rPh>
    <rPh sb="2" eb="3">
      <t>リツ</t>
    </rPh>
    <phoneticPr fontId="2"/>
  </si>
  <si>
    <t>負担率：</t>
    <rPh sb="0" eb="2">
      <t>フタン</t>
    </rPh>
    <phoneticPr fontId="2"/>
  </si>
  <si>
    <t>日数/回</t>
    <phoneticPr fontId="2"/>
  </si>
  <si>
    <t>（国庫補助金）</t>
    <rPh sb="1" eb="3">
      <t>コッコ</t>
    </rPh>
    <rPh sb="3" eb="6">
      <t>ホジョキン</t>
    </rPh>
    <phoneticPr fontId="2"/>
  </si>
  <si>
    <t>食費</t>
    <rPh sb="0" eb="2">
      <t>ショクヒ</t>
    </rPh>
    <phoneticPr fontId="2"/>
  </si>
  <si>
    <t>【計算結果】</t>
    <rPh sb="1" eb="3">
      <t>ケイサン</t>
    </rPh>
    <rPh sb="3" eb="5">
      <t>ケッカ</t>
    </rPh>
    <phoneticPr fontId="2"/>
  </si>
  <si>
    <t>円／泊</t>
    <rPh sb="0" eb="1">
      <t>エン</t>
    </rPh>
    <rPh sb="2" eb="3">
      <t>ハク</t>
    </rPh>
    <phoneticPr fontId="2"/>
  </si>
  <si>
    <t>研修旅行中</t>
    <rPh sb="0" eb="2">
      <t>ケンシュウ</t>
    </rPh>
    <rPh sb="2" eb="5">
      <t>リョコウチュウ</t>
    </rPh>
    <phoneticPr fontId="2"/>
  </si>
  <si>
    <t>受入会社施設</t>
    <rPh sb="0" eb="2">
      <t>ウケイレ</t>
    </rPh>
    <rPh sb="2" eb="4">
      <t>カイシャ</t>
    </rPh>
    <rPh sb="4" eb="6">
      <t>シセツ</t>
    </rPh>
    <phoneticPr fontId="2"/>
  </si>
  <si>
    <t>外部宿舎</t>
    <rPh sb="0" eb="2">
      <t>ガイブ</t>
    </rPh>
    <rPh sb="2" eb="4">
      <t>シュクシャ</t>
    </rPh>
    <phoneticPr fontId="2"/>
  </si>
  <si>
    <t>備考</t>
    <rPh sb="0" eb="2">
      <t>ビコウ</t>
    </rPh>
    <phoneticPr fontId="2"/>
  </si>
  <si>
    <t>日</t>
    <rPh sb="0" eb="1">
      <t>ニチ</t>
    </rPh>
    <phoneticPr fontId="2"/>
  </si>
  <si>
    <t>以外</t>
    <rPh sb="0" eb="2">
      <t>イガイ</t>
    </rPh>
    <phoneticPr fontId="2"/>
  </si>
  <si>
    <t>年月</t>
    <rPh sb="0" eb="1">
      <t>ネン</t>
    </rPh>
    <rPh sb="1" eb="2">
      <t>ツキ</t>
    </rPh>
    <phoneticPr fontId="2"/>
  </si>
  <si>
    <t>1回</t>
    <rPh sb="1" eb="2">
      <t>カイ</t>
    </rPh>
    <phoneticPr fontId="2"/>
  </si>
  <si>
    <t>対象期間：</t>
    <rPh sb="0" eb="2">
      <t>タイショウ</t>
    </rPh>
    <rPh sb="2" eb="4">
      <t>キカン</t>
    </rPh>
    <phoneticPr fontId="2"/>
  </si>
  <si>
    <t>実地研修開始日</t>
    <rPh sb="0" eb="2">
      <t>ジッチ</t>
    </rPh>
    <rPh sb="2" eb="4">
      <t>ケンシュウ</t>
    </rPh>
    <rPh sb="4" eb="6">
      <t>カイシ</t>
    </rPh>
    <rPh sb="6" eb="7">
      <t>ビ</t>
    </rPh>
    <phoneticPr fontId="2"/>
  </si>
  <si>
    <t>項番</t>
    <rPh sb="0" eb="1">
      <t>コウ</t>
    </rPh>
    <rPh sb="1" eb="2">
      <t>バン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</si>
  <si>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</si>
  <si>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</si>
  <si>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場所</t>
    <rPh sb="0" eb="2">
      <t>バショ</t>
    </rPh>
    <phoneticPr fontId="2"/>
  </si>
  <si>
    <t>月末日</t>
    <rPh sb="0" eb="1">
      <t>ゲツ</t>
    </rPh>
    <rPh sb="1" eb="3">
      <t>マツジツ</t>
    </rPh>
    <phoneticPr fontId="2"/>
  </si>
  <si>
    <t>期間</t>
    <rPh sb="0" eb="2">
      <t>キカン</t>
    </rPh>
    <phoneticPr fontId="2"/>
  </si>
  <si>
    <t>研修日数</t>
    <rPh sb="0" eb="2">
      <t>ケンシュウ</t>
    </rPh>
    <rPh sb="2" eb="4">
      <t>ニッスウ</t>
    </rPh>
    <phoneticPr fontId="2"/>
  </si>
  <si>
    <t>実地研修
日数</t>
    <rPh sb="0" eb="2">
      <t>ジッチ</t>
    </rPh>
    <rPh sb="2" eb="4">
      <t>ケンシュウ</t>
    </rPh>
    <rPh sb="5" eb="7">
      <t>ニッスウ</t>
    </rPh>
    <phoneticPr fontId="2"/>
  </si>
  <si>
    <t>一般研修
日数</t>
    <rPh sb="0" eb="2">
      <t>イッパン</t>
    </rPh>
    <rPh sb="2" eb="4">
      <t>ケンシュウ</t>
    </rPh>
    <rPh sb="5" eb="7">
      <t>ニッスウ</t>
    </rPh>
    <phoneticPr fontId="2"/>
  </si>
  <si>
    <t>チェックイン当日
（宿舎費+食費）</t>
    <rPh sb="6" eb="8">
      <t>トウジツ</t>
    </rPh>
    <rPh sb="10" eb="12">
      <t>シュクシャ</t>
    </rPh>
    <rPh sb="12" eb="13">
      <t>ヒ</t>
    </rPh>
    <rPh sb="14" eb="16">
      <t>ショクヒ</t>
    </rPh>
    <phoneticPr fontId="2"/>
  </si>
  <si>
    <t>センター滞在中
（宿舎費+食費）</t>
    <rPh sb="4" eb="7">
      <t>タイザイチュウ</t>
    </rPh>
    <rPh sb="9" eb="11">
      <t>シュクシャ</t>
    </rPh>
    <rPh sb="11" eb="12">
      <t>ヒ</t>
    </rPh>
    <rPh sb="13" eb="15">
      <t>ショクヒ</t>
    </rPh>
    <phoneticPr fontId="2"/>
  </si>
  <si>
    <t>【日程表】</t>
    <rPh sb="1" eb="3">
      <t>ニッテイ</t>
    </rPh>
    <rPh sb="3" eb="4">
      <t>ヒョウ</t>
    </rPh>
    <phoneticPr fontId="2"/>
  </si>
  <si>
    <t>日数/回</t>
    <phoneticPr fontId="2"/>
  </si>
  <si>
    <t>日数/回</t>
    <phoneticPr fontId="2"/>
  </si>
  <si>
    <t>閏年
対象月？</t>
    <rPh sb="0" eb="2">
      <t>ウルウドシ</t>
    </rPh>
    <rPh sb="3" eb="5">
      <t>タイショウ</t>
    </rPh>
    <rPh sb="5" eb="6">
      <t>ツキ</t>
    </rPh>
    <phoneticPr fontId="2"/>
  </si>
  <si>
    <t>区分</t>
    <rPh sb="0" eb="2">
      <t>クブン</t>
    </rPh>
    <phoneticPr fontId="2"/>
  </si>
  <si>
    <t>支払額</t>
    <rPh sb="0" eb="2">
      <t>シハライ</t>
    </rPh>
    <phoneticPr fontId="2"/>
  </si>
  <si>
    <t>実地研修</t>
    <rPh sb="0" eb="2">
      <t>ジッチ</t>
    </rPh>
    <rPh sb="2" eb="4">
      <t>ケンシュウ</t>
    </rPh>
    <phoneticPr fontId="2"/>
  </si>
  <si>
    <t>作成日：</t>
    <rPh sb="0" eb="3">
      <t>サクセイビ</t>
    </rPh>
    <phoneticPr fontId="2"/>
  </si>
  <si>
    <r>
      <t>1)　受入費等支出明細　</t>
    </r>
    <r>
      <rPr>
        <sz val="10"/>
        <rFont val="ＭＳ Ｐゴシック"/>
        <family val="3"/>
        <charset val="128"/>
      </rPr>
      <t>[コース開始前日にチェックイン、コース終了翌日にチェックアウトしたものとして設定]</t>
    </r>
    <rPh sb="3" eb="5">
      <t>ウケイレ</t>
    </rPh>
    <rPh sb="5" eb="6">
      <t>ヒ</t>
    </rPh>
    <rPh sb="6" eb="7">
      <t>トウ</t>
    </rPh>
    <rPh sb="7" eb="9">
      <t>シシュツ</t>
    </rPh>
    <rPh sb="9" eb="11">
      <t>メイサイ</t>
    </rPh>
    <phoneticPr fontId="2"/>
  </si>
  <si>
    <t>【試算条件】</t>
    <rPh sb="1" eb="3">
      <t>シサン</t>
    </rPh>
    <rPh sb="3" eb="5">
      <t>ジョウケン</t>
    </rPh>
    <phoneticPr fontId="2"/>
  </si>
  <si>
    <t>：手入力</t>
    <rPh sb="1" eb="2">
      <t>テ</t>
    </rPh>
    <rPh sb="2" eb="4">
      <t>ニュウリョク</t>
    </rPh>
    <phoneticPr fontId="2"/>
  </si>
  <si>
    <t>日数
(来日日含む)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</si>
  <si>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来日日</t>
    <rPh sb="0" eb="2">
      <t>ライニチ</t>
    </rPh>
    <rPh sb="2" eb="3">
      <t>ヒ</t>
    </rPh>
    <phoneticPr fontId="2"/>
  </si>
  <si>
    <t>円</t>
    <rPh sb="0" eb="1">
      <t>エン</t>
    </rPh>
    <phoneticPr fontId="2"/>
  </si>
  <si>
    <t>3. 最後の宿泊場所～離日空港間：</t>
    <rPh sb="3" eb="5">
      <t>サイゴ</t>
    </rPh>
    <rPh sb="6" eb="8">
      <t>シュクハク</t>
    </rPh>
    <rPh sb="8" eb="10">
      <t>バショ</t>
    </rPh>
    <rPh sb="11" eb="13">
      <t>リニチ</t>
    </rPh>
    <rPh sb="13" eb="15">
      <t>クウコウ</t>
    </rPh>
    <rPh sb="15" eb="16">
      <t>カン</t>
    </rPh>
    <phoneticPr fontId="2"/>
  </si>
  <si>
    <t>2. 研修ｾﾝﾀｰ～最初の実地研修地間：</t>
    <rPh sb="3" eb="5">
      <t>ケンシュウ</t>
    </rPh>
    <rPh sb="10" eb="12">
      <t>サイショ</t>
    </rPh>
    <rPh sb="13" eb="15">
      <t>ジッチ</t>
    </rPh>
    <rPh sb="15" eb="17">
      <t>ケンシュウ</t>
    </rPh>
    <rPh sb="17" eb="18">
      <t>チ</t>
    </rPh>
    <rPh sb="18" eb="19">
      <t>カン</t>
    </rPh>
    <phoneticPr fontId="2"/>
  </si>
  <si>
    <t>（受入費等 計：①）</t>
    <rPh sb="1" eb="3">
      <t>ウケイレ</t>
    </rPh>
    <rPh sb="3" eb="5">
      <t>ヒナド</t>
    </rPh>
    <rPh sb="6" eb="7">
      <t>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</si>
  <si>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</si>
  <si>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</si>
  <si>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</si>
  <si>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</si>
  <si>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</si>
  <si>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</si>
  <si>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</si>
  <si>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</si>
  <si>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</si>
  <si>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</si>
  <si>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</si>
  <si>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</si>
  <si>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月</t>
    <rPh sb="0" eb="1">
      <t>ツキ</t>
    </rPh>
    <phoneticPr fontId="2"/>
  </si>
  <si>
    <t>項目</t>
    <rPh sb="0" eb="2">
      <t>コウモク</t>
    </rPh>
    <phoneticPr fontId="2"/>
  </si>
  <si>
    <t>データ</t>
    <phoneticPr fontId="2"/>
  </si>
  <si>
    <t>来日日含む</t>
    <rPh sb="0" eb="2">
      <t>ライニチ</t>
    </rPh>
    <rPh sb="2" eb="3">
      <t>ビ</t>
    </rPh>
    <rPh sb="3" eb="4">
      <t>フク</t>
    </rPh>
    <phoneticPr fontId="2"/>
  </si>
  <si>
    <t>月日数</t>
    <rPh sb="0" eb="1">
      <t>ツキ</t>
    </rPh>
    <rPh sb="1" eb="3">
      <t>ニッスウ</t>
    </rPh>
    <phoneticPr fontId="2"/>
  </si>
  <si>
    <t>標準日数</t>
    <rPh sb="0" eb="2">
      <t>ヒョウジュン</t>
    </rPh>
    <rPh sb="2" eb="4">
      <t>ニッスウ</t>
    </rPh>
    <phoneticPr fontId="2"/>
  </si>
  <si>
    <t>【月別標準日数】</t>
    <rPh sb="1" eb="2">
      <t>ツキ</t>
    </rPh>
    <rPh sb="2" eb="3">
      <t>ベツ</t>
    </rPh>
    <rPh sb="3" eb="5">
      <t>ヒョウジュン</t>
    </rPh>
    <rPh sb="5" eb="7">
      <t>ニッスウ</t>
    </rPh>
    <phoneticPr fontId="2"/>
  </si>
  <si>
    <t>年(*1)</t>
    <rPh sb="0" eb="1">
      <t>ネン</t>
    </rPh>
    <phoneticPr fontId="2"/>
  </si>
  <si>
    <t>月(*2)</t>
    <rPh sb="0" eb="1">
      <t>ツキ</t>
    </rPh>
    <phoneticPr fontId="2"/>
  </si>
  <si>
    <t>年月日
（(*1),(*2),(*3）をｼﾘｱﾙ値変換）</t>
    <rPh sb="0" eb="3">
      <t>ネンガッピ</t>
    </rPh>
    <phoneticPr fontId="2"/>
  </si>
  <si>
    <t>日数/月
(*3)</t>
    <rPh sb="0" eb="2">
      <t>ニッスウ</t>
    </rPh>
    <rPh sb="3" eb="4">
      <t>ゲツ</t>
    </rPh>
    <phoneticPr fontId="2"/>
  </si>
  <si>
    <t>年&amp;月
(*1)&amp;(*2)</t>
    <rPh sb="0" eb="1">
      <t>ネン</t>
    </rPh>
    <rPh sb="2" eb="3">
      <t>ツキ</t>
    </rPh>
    <phoneticPr fontId="2"/>
  </si>
  <si>
    <t>研修終了日</t>
    <rPh sb="0" eb="2">
      <t>ケンシュウ</t>
    </rPh>
    <rPh sb="2" eb="5">
      <t>シュウリョウビ</t>
    </rPh>
    <phoneticPr fontId="2"/>
  </si>
  <si>
    <t>センター滞在中</t>
    <rPh sb="4" eb="6">
      <t>タイザイ</t>
    </rPh>
    <rPh sb="6" eb="7">
      <t>チュウ</t>
    </rPh>
    <phoneticPr fontId="2"/>
  </si>
  <si>
    <t>年度：</t>
    <rPh sb="0" eb="2">
      <t>ネンド</t>
    </rPh>
    <phoneticPr fontId="2"/>
  </si>
  <si>
    <t>研修旅行中</t>
  </si>
  <si>
    <t>計（円）</t>
    <rPh sb="0" eb="1">
      <t>ケイ</t>
    </rPh>
    <rPh sb="2" eb="3">
      <t>エン</t>
    </rPh>
    <phoneticPr fontId="2"/>
  </si>
  <si>
    <t>日数</t>
    <rPh sb="0" eb="2">
      <t>ニッスウ</t>
    </rPh>
    <phoneticPr fontId="2"/>
  </si>
  <si>
    <t>月別受入費等明細</t>
    <rPh sb="0" eb="2">
      <t>ツキベツ</t>
    </rPh>
    <rPh sb="2" eb="4">
      <t>ウケイレ</t>
    </rPh>
    <rPh sb="4" eb="5">
      <t>ヒ</t>
    </rPh>
    <rPh sb="5" eb="6">
      <t>トウ</t>
    </rPh>
    <rPh sb="6" eb="8">
      <t>メイサイ</t>
    </rPh>
    <phoneticPr fontId="2"/>
  </si>
  <si>
    <t>累計差引支払額(※)</t>
    <rPh sb="0" eb="2">
      <t>ルイケイ</t>
    </rPh>
    <rPh sb="2" eb="4">
      <t>サシヒキ</t>
    </rPh>
    <rPh sb="4" eb="6">
      <t>シハライ</t>
    </rPh>
    <rPh sb="6" eb="7">
      <t>ガク</t>
    </rPh>
    <phoneticPr fontId="2"/>
  </si>
  <si>
    <t>空港</t>
    <rPh sb="0" eb="2">
      <t>クウコウ</t>
    </rPh>
    <phoneticPr fontId="2"/>
  </si>
  <si>
    <t>研修センター</t>
    <rPh sb="0" eb="2">
      <t>ケンシュウ</t>
    </rPh>
    <phoneticPr fontId="2"/>
  </si>
  <si>
    <t>TKC</t>
    <phoneticPr fontId="2"/>
  </si>
  <si>
    <t>成田</t>
    <rPh sb="0" eb="2">
      <t>ナリタ</t>
    </rPh>
    <phoneticPr fontId="2"/>
  </si>
  <si>
    <t>関西</t>
    <rPh sb="0" eb="2">
      <t>カンサイ</t>
    </rPh>
    <phoneticPr fontId="2"/>
  </si>
  <si>
    <t>研修ｾﾝﾀｰ～実地研修地間</t>
    <rPh sb="0" eb="2">
      <t>ケンシュウ</t>
    </rPh>
    <rPh sb="7" eb="9">
      <t>ジッチ</t>
    </rPh>
    <rPh sb="9" eb="11">
      <t>ケンシュウ</t>
    </rPh>
    <rPh sb="11" eb="12">
      <t>チ</t>
    </rPh>
    <rPh sb="12" eb="13">
      <t>カン</t>
    </rPh>
    <phoneticPr fontId="2"/>
  </si>
  <si>
    <t>宿泊場所～離日空港間</t>
    <rPh sb="0" eb="2">
      <t>シュクハク</t>
    </rPh>
    <rPh sb="2" eb="4">
      <t>バショ</t>
    </rPh>
    <rPh sb="5" eb="7">
      <t>リニチ</t>
    </rPh>
    <rPh sb="7" eb="9">
      <t>クウコウ</t>
    </rPh>
    <rPh sb="9" eb="10">
      <t>カン</t>
    </rPh>
    <phoneticPr fontId="2"/>
  </si>
  <si>
    <t>1. 来日空港～研修ｾﾝﾀｰ間：</t>
    <rPh sb="3" eb="5">
      <t>ライニチ</t>
    </rPh>
    <rPh sb="5" eb="7">
      <t>クウコウ</t>
    </rPh>
    <phoneticPr fontId="2"/>
  </si>
  <si>
    <t>KKC</t>
  </si>
  <si>
    <t>補助率</t>
    <rPh sb="0" eb="3">
      <t>ホジョリツ</t>
    </rPh>
    <phoneticPr fontId="2"/>
  </si>
  <si>
    <t>企業負担</t>
    <rPh sb="0" eb="2">
      <t>キギョウ</t>
    </rPh>
    <rPh sb="2" eb="4">
      <t>フタン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</si>
  <si>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</si>
  <si>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実地研修中外部宿舎費（補助対象分）</t>
    <rPh sb="5" eb="7">
      <t>ガイブ</t>
    </rPh>
    <phoneticPr fontId="2"/>
  </si>
  <si>
    <t>TKC</t>
  </si>
  <si>
    <t>費目</t>
    <phoneticPr fontId="2"/>
  </si>
  <si>
    <t>費目</t>
    <rPh sb="0" eb="1">
      <t>ヒ</t>
    </rPh>
    <rPh sb="1" eb="2">
      <t>メ</t>
    </rPh>
    <phoneticPr fontId="2"/>
  </si>
  <si>
    <t>受入企業から外部及び研修生への支払額</t>
    <phoneticPr fontId="2"/>
  </si>
  <si>
    <t>【国内移動費】</t>
    <phoneticPr fontId="2"/>
  </si>
  <si>
    <t>研修センター</t>
    <phoneticPr fontId="2"/>
  </si>
  <si>
    <t>【実地研修中宿舎】</t>
    <rPh sb="1" eb="3">
      <t>ジッチ</t>
    </rPh>
    <rPh sb="3" eb="6">
      <t>ケンシュウチュウ</t>
    </rPh>
    <rPh sb="6" eb="8">
      <t>シュクシャ</t>
    </rPh>
    <phoneticPr fontId="2"/>
  </si>
  <si>
    <t>渡航費</t>
    <rPh sb="0" eb="3">
      <t>トコウヒ</t>
    </rPh>
    <phoneticPr fontId="2"/>
  </si>
  <si>
    <t>実地研修期間</t>
    <phoneticPr fontId="2"/>
  </si>
  <si>
    <t>合計</t>
    <rPh sb="0" eb="1">
      <t>ゴウ</t>
    </rPh>
    <rPh sb="1" eb="2">
      <t>ケイ</t>
    </rPh>
    <phoneticPr fontId="2"/>
  </si>
  <si>
    <t>基準額</t>
    <rPh sb="0" eb="2">
      <t>キジュン</t>
    </rPh>
    <rPh sb="2" eb="3">
      <t>ガク</t>
    </rPh>
    <phoneticPr fontId="2"/>
  </si>
  <si>
    <t>(1往復)</t>
  </si>
  <si>
    <t>国庫補助金</t>
    <rPh sb="0" eb="2">
      <t>コッコ</t>
    </rPh>
    <rPh sb="2" eb="4">
      <t>ホジョ</t>
    </rPh>
    <rPh sb="4" eb="5">
      <t>キン</t>
    </rPh>
    <phoneticPr fontId="2"/>
  </si>
  <si>
    <t>航空券代</t>
    <rPh sb="0" eb="3">
      <t>コウクウケン</t>
    </rPh>
    <rPh sb="3" eb="4">
      <t>ダイ</t>
    </rPh>
    <phoneticPr fontId="23"/>
  </si>
  <si>
    <t>実地研修費用</t>
    <rPh sb="0" eb="2">
      <t>ジッチ</t>
    </rPh>
    <rPh sb="2" eb="4">
      <t>ケンシュウ</t>
    </rPh>
    <rPh sb="4" eb="6">
      <t>ヒヨウ</t>
    </rPh>
    <phoneticPr fontId="23"/>
  </si>
  <si>
    <t>受入企業が研修生や業者へ支払う</t>
    <rPh sb="0" eb="2">
      <t>ウケイレ</t>
    </rPh>
    <rPh sb="2" eb="4">
      <t>キギョウ</t>
    </rPh>
    <rPh sb="5" eb="8">
      <t>ケンシュウセイ</t>
    </rPh>
    <rPh sb="9" eb="11">
      <t>ギョウシャ</t>
    </rPh>
    <rPh sb="12" eb="14">
      <t>シハラ</t>
    </rPh>
    <phoneticPr fontId="23"/>
  </si>
  <si>
    <t>国内移動費</t>
    <rPh sb="0" eb="2">
      <t>コクナイ</t>
    </rPh>
    <rPh sb="2" eb="4">
      <t>イドウ</t>
    </rPh>
    <rPh sb="4" eb="5">
      <t>ヒ</t>
    </rPh>
    <phoneticPr fontId="23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</si>
  <si>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</si>
  <si>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</si>
  <si>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</si>
  <si>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食費</t>
    <rPh sb="0" eb="2">
      <t>ショクヒ</t>
    </rPh>
    <phoneticPr fontId="2"/>
  </si>
  <si>
    <t>宿泊費</t>
    <rPh sb="0" eb="3">
      <t>シュクハクヒ</t>
    </rPh>
    <phoneticPr fontId="2"/>
  </si>
  <si>
    <t>実地研修中の宿泊　：　</t>
    <phoneticPr fontId="2"/>
  </si>
  <si>
    <t>Ⅶ．</t>
    <phoneticPr fontId="2"/>
  </si>
  <si>
    <t>【研修申込区分】</t>
    <rPh sb="1" eb="3">
      <t>ケンシュウ</t>
    </rPh>
    <rPh sb="3" eb="5">
      <t>モウシコミ</t>
    </rPh>
    <rPh sb="5" eb="7">
      <t>クブン</t>
    </rPh>
    <phoneticPr fontId="2"/>
  </si>
  <si>
    <t>研修申込区分</t>
    <rPh sb="0" eb="2">
      <t>ケンシュウ</t>
    </rPh>
    <rPh sb="2" eb="4">
      <t>モウシコミ</t>
    </rPh>
    <rPh sb="4" eb="6">
      <t>クブン</t>
    </rPh>
    <phoneticPr fontId="2"/>
  </si>
  <si>
    <t>研修旅行中</t>
    <phoneticPr fontId="2"/>
  </si>
  <si>
    <t>企業名　：</t>
    <rPh sb="0" eb="2">
      <t>キギョウ</t>
    </rPh>
    <rPh sb="2" eb="3">
      <t>メイ</t>
    </rPh>
    <phoneticPr fontId="2"/>
  </si>
  <si>
    <t>Ⅰ．</t>
    <phoneticPr fontId="2"/>
  </si>
  <si>
    <t>研修申込区分　：</t>
    <rPh sb="0" eb="2">
      <t>ケンシュウ</t>
    </rPh>
    <rPh sb="2" eb="3">
      <t>モウ</t>
    </rPh>
    <rPh sb="3" eb="4">
      <t>コミ</t>
    </rPh>
    <phoneticPr fontId="2"/>
  </si>
  <si>
    <t>来日日　：</t>
    <rPh sb="0" eb="2">
      <t>ライニチ</t>
    </rPh>
    <rPh sb="2" eb="3">
      <t>ビ</t>
    </rPh>
    <phoneticPr fontId="2"/>
  </si>
  <si>
    <t>Ⅱ．</t>
    <phoneticPr fontId="2"/>
  </si>
  <si>
    <t>Ⅲ．</t>
    <phoneticPr fontId="2"/>
  </si>
  <si>
    <t>Ⅳ．</t>
    <phoneticPr fontId="2"/>
  </si>
  <si>
    <t>Ⅵ．</t>
    <phoneticPr fontId="2"/>
  </si>
  <si>
    <t>Ⅷ．</t>
    <phoneticPr fontId="2"/>
  </si>
  <si>
    <t>国内移動費</t>
    <rPh sb="0" eb="2">
      <t>コクナイ</t>
    </rPh>
    <rPh sb="2" eb="4">
      <t>イドウ</t>
    </rPh>
    <rPh sb="4" eb="5">
      <t>ヒ</t>
    </rPh>
    <phoneticPr fontId="2"/>
  </si>
  <si>
    <t>-</t>
    <phoneticPr fontId="2"/>
  </si>
  <si>
    <t>受入費等基準額</t>
    <rPh sb="0" eb="2">
      <t>ウケイレ</t>
    </rPh>
    <rPh sb="2" eb="3">
      <t>ヒ</t>
    </rPh>
    <rPh sb="3" eb="4">
      <t>トウ</t>
    </rPh>
    <rPh sb="4" eb="6">
      <t>キジュン</t>
    </rPh>
    <rPh sb="6" eb="7">
      <t>ガク</t>
    </rPh>
    <phoneticPr fontId="23"/>
  </si>
  <si>
    <t>来日日からの
日数</t>
    <rPh sb="0" eb="2">
      <t>ライニチ</t>
    </rPh>
    <rPh sb="2" eb="3">
      <t>ヒ</t>
    </rPh>
    <rPh sb="7" eb="9">
      <t>ニッスウ</t>
    </rPh>
    <phoneticPr fontId="2"/>
  </si>
  <si>
    <t>支払先</t>
    <rPh sb="0" eb="2">
      <t>シハライ</t>
    </rPh>
    <rPh sb="2" eb="3">
      <t>サキ</t>
    </rPh>
    <phoneticPr fontId="2"/>
  </si>
  <si>
    <t>支出額</t>
    <rPh sb="0" eb="2">
      <t>シシュツ</t>
    </rPh>
    <rPh sb="2" eb="3">
      <t>ガク</t>
    </rPh>
    <phoneticPr fontId="2"/>
  </si>
  <si>
    <t>研修生</t>
    <rPh sb="0" eb="3">
      <t>ケンシュウセイ</t>
    </rPh>
    <phoneticPr fontId="2"/>
  </si>
  <si>
    <t>実地研修中 食費</t>
    <rPh sb="0" eb="2">
      <t>ジッチ</t>
    </rPh>
    <rPh sb="2" eb="5">
      <t>ケンシュウチュウ</t>
    </rPh>
    <rPh sb="6" eb="8">
      <t>ショクヒ</t>
    </rPh>
    <phoneticPr fontId="2"/>
  </si>
  <si>
    <t>現金払い</t>
    <rPh sb="0" eb="2">
      <t>ゲンキン</t>
    </rPh>
    <rPh sb="2" eb="3">
      <t>バラ</t>
    </rPh>
    <phoneticPr fontId="2"/>
  </si>
  <si>
    <t>渡航費</t>
    <rPh sb="0" eb="2">
      <t>トコウ</t>
    </rPh>
    <rPh sb="2" eb="3">
      <t>ヒ</t>
    </rPh>
    <phoneticPr fontId="2"/>
  </si>
  <si>
    <t>JR等</t>
    <rPh sb="2" eb="3">
      <t>トウ</t>
    </rPh>
    <phoneticPr fontId="2"/>
  </si>
  <si>
    <t>生活費</t>
    <rPh sb="0" eb="3">
      <t>セイカツヒ</t>
    </rPh>
    <phoneticPr fontId="2"/>
  </si>
  <si>
    <t>受入企業</t>
    <rPh sb="0" eb="2">
      <t>ウケイレ</t>
    </rPh>
    <rPh sb="2" eb="4">
      <t>キギョウ</t>
    </rPh>
    <phoneticPr fontId="2"/>
  </si>
  <si>
    <t>研修費等</t>
    <rPh sb="0" eb="2">
      <t>ケンシュウ</t>
    </rPh>
    <rPh sb="2" eb="3">
      <t>ヒ</t>
    </rPh>
    <rPh sb="3" eb="4">
      <t>トウ</t>
    </rPh>
    <phoneticPr fontId="2"/>
  </si>
  <si>
    <t>合　　計</t>
    <rPh sb="0" eb="1">
      <t>ア</t>
    </rPh>
    <rPh sb="3" eb="4">
      <t>ケイ</t>
    </rPh>
    <phoneticPr fontId="2"/>
  </si>
  <si>
    <t>旅費</t>
    <rPh sb="0" eb="2">
      <t>リョヒ</t>
    </rPh>
    <phoneticPr fontId="2"/>
  </si>
  <si>
    <t>渡航費　：</t>
    <phoneticPr fontId="2"/>
  </si>
  <si>
    <t>【費用の使途(支払先別)】</t>
    <rPh sb="1" eb="3">
      <t>ヒヨウ</t>
    </rPh>
    <rPh sb="4" eb="6">
      <t>シト</t>
    </rPh>
    <rPh sb="7" eb="9">
      <t>シハライ</t>
    </rPh>
    <rPh sb="9" eb="10">
      <t>サキ</t>
    </rPh>
    <rPh sb="10" eb="11">
      <t>ベツ</t>
    </rPh>
    <phoneticPr fontId="2"/>
  </si>
  <si>
    <t>費用の使途</t>
    <rPh sb="0" eb="2">
      <t>ヒヨウ</t>
    </rPh>
    <rPh sb="3" eb="5">
      <t>シト</t>
    </rPh>
    <phoneticPr fontId="2"/>
  </si>
  <si>
    <t>社員寮、借上げアパート</t>
    <rPh sb="0" eb="3">
      <t>シャインリョウ</t>
    </rPh>
    <rPh sb="4" eb="6">
      <t>カリア</t>
    </rPh>
    <phoneticPr fontId="2"/>
  </si>
  <si>
    <t>研修生へは現物提供</t>
    <rPh sb="0" eb="3">
      <t>ケンシュウセイ</t>
    </rPh>
    <rPh sb="5" eb="7">
      <t>ゲンブツ</t>
    </rPh>
    <rPh sb="7" eb="9">
      <t>テイキョウ</t>
    </rPh>
    <phoneticPr fontId="2"/>
  </si>
  <si>
    <t>指導員人件費、作業着、テキスト等</t>
    <rPh sb="0" eb="3">
      <t>シドウイン</t>
    </rPh>
    <rPh sb="3" eb="6">
      <t>ジンケンヒ</t>
    </rPh>
    <rPh sb="7" eb="10">
      <t>サギョウギ</t>
    </rPh>
    <rPh sb="15" eb="16">
      <t>トウ</t>
    </rPh>
    <phoneticPr fontId="2"/>
  </si>
  <si>
    <t>研修生への食費</t>
    <rPh sb="0" eb="3">
      <t>ケンシュウセイ</t>
    </rPh>
    <rPh sb="5" eb="7">
      <t>ショクヒ</t>
    </rPh>
    <phoneticPr fontId="23"/>
  </si>
  <si>
    <t>研修生への雑費</t>
    <rPh sb="0" eb="3">
      <t>ケンシュウセイ</t>
    </rPh>
    <rPh sb="5" eb="7">
      <t>ザッピ</t>
    </rPh>
    <phoneticPr fontId="23"/>
  </si>
  <si>
    <t>(A)　-　(B)</t>
    <phoneticPr fontId="23"/>
  </si>
  <si>
    <t>備　　考</t>
    <rPh sb="0" eb="1">
      <t>ソナエ</t>
    </rPh>
    <rPh sb="3" eb="4">
      <t>コウ</t>
    </rPh>
    <phoneticPr fontId="2"/>
  </si>
  <si>
    <t>商業ホテル、旅館等</t>
    <rPh sb="0" eb="2">
      <t>ショウギョウ</t>
    </rPh>
    <rPh sb="6" eb="8">
      <t>リョカン</t>
    </rPh>
    <rPh sb="8" eb="9">
      <t>トウ</t>
    </rPh>
    <phoneticPr fontId="2"/>
  </si>
  <si>
    <t>計（①）</t>
    <phoneticPr fontId="2"/>
  </si>
  <si>
    <t>計（②）</t>
    <phoneticPr fontId="2"/>
  </si>
  <si>
    <t>計（③）</t>
    <phoneticPr fontId="2"/>
  </si>
  <si>
    <t>旅行代理店等</t>
    <rPh sb="0" eb="2">
      <t>リョコウ</t>
    </rPh>
    <rPh sb="2" eb="4">
      <t>ダイリ</t>
    </rPh>
    <rPh sb="4" eb="5">
      <t>テン</t>
    </rPh>
    <rPh sb="5" eb="6">
      <t>トウ</t>
    </rPh>
    <phoneticPr fontId="2"/>
  </si>
  <si>
    <t>外部宿舎費（上で｢外部宿舎｣を選択の場合）：</t>
    <rPh sb="0" eb="2">
      <t>ガイブ</t>
    </rPh>
    <rPh sb="2" eb="4">
      <t>シュクシャ</t>
    </rPh>
    <rPh sb="4" eb="5">
      <t>ヒ</t>
    </rPh>
    <rPh sb="9" eb="11">
      <t>ガイブ</t>
    </rPh>
    <rPh sb="11" eb="13">
      <t>シュクシャ</t>
    </rPh>
    <phoneticPr fontId="2"/>
  </si>
  <si>
    <t>費　　目</t>
    <rPh sb="0" eb="1">
      <t>ヒ</t>
    </rPh>
    <rPh sb="3" eb="4">
      <t>メ</t>
    </rPh>
    <phoneticPr fontId="2"/>
  </si>
  <si>
    <t>費　　目</t>
    <phoneticPr fontId="2"/>
  </si>
  <si>
    <t>センター
　　利用料等</t>
    <rPh sb="7" eb="10">
      <t>リヨウリョウ</t>
    </rPh>
    <rPh sb="10" eb="11">
      <t>トウ</t>
    </rPh>
    <phoneticPr fontId="2"/>
  </si>
  <si>
    <t>【国内移動費基準額】　（2015.04現在）</t>
    <rPh sb="1" eb="3">
      <t>コクナイ</t>
    </rPh>
    <rPh sb="3" eb="5">
      <t>イドウ</t>
    </rPh>
    <rPh sb="5" eb="6">
      <t>ヒ</t>
    </rPh>
    <rPh sb="6" eb="8">
      <t>キジュン</t>
    </rPh>
    <rPh sb="8" eb="9">
      <t>ガク</t>
    </rPh>
    <rPh sb="19" eb="21">
      <t>ゲンザイ</t>
    </rPh>
    <phoneticPr fontId="2"/>
  </si>
  <si>
    <t>研修旅行</t>
    <rPh sb="0" eb="2">
      <t>ケンシュウ</t>
    </rPh>
    <rPh sb="2" eb="4">
      <t>リョコウ</t>
    </rPh>
    <phoneticPr fontId="2"/>
  </si>
  <si>
    <t>【研修旅行】</t>
    <rPh sb="1" eb="3">
      <t>ケンシュウ</t>
    </rPh>
    <rPh sb="3" eb="5">
      <t>リョコウ</t>
    </rPh>
    <phoneticPr fontId="2"/>
  </si>
  <si>
    <t>開始月</t>
    <rPh sb="0" eb="3">
      <t>カイシヅキ</t>
    </rPh>
    <phoneticPr fontId="2"/>
  </si>
  <si>
    <t>：9D,A9D費用試算シート 【試算条件】での選択値</t>
    <rPh sb="7" eb="9">
      <t>ヒヨウ</t>
    </rPh>
    <rPh sb="9" eb="11">
      <t>シサン</t>
    </rPh>
    <rPh sb="16" eb="18">
      <t>シサン</t>
    </rPh>
    <rPh sb="18" eb="20">
      <t>ジョウケン</t>
    </rPh>
    <rPh sb="23" eb="25">
      <t>センタク</t>
    </rPh>
    <rPh sb="25" eb="26">
      <t>チ</t>
    </rPh>
    <phoneticPr fontId="2"/>
  </si>
  <si>
    <r>
      <t>実地研修中 宿舎費</t>
    </r>
    <r>
      <rPr>
        <sz val="8"/>
        <rFont val="ＭＳ Ｐゴシック"/>
        <family val="3"/>
        <charset val="128"/>
      </rPr>
      <t>(外部宿舎利用時)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ガイブ</t>
    </rPh>
    <rPh sb="12" eb="14">
      <t>シュクシャ</t>
    </rPh>
    <rPh sb="14" eb="16">
      <t>リヨウ</t>
    </rPh>
    <rPh sb="16" eb="17">
      <t>ジ</t>
    </rPh>
    <phoneticPr fontId="2"/>
  </si>
  <si>
    <r>
      <t>実地研修中 宿舎費</t>
    </r>
    <r>
      <rPr>
        <sz val="8"/>
        <rFont val="ＭＳ Ｐゴシック"/>
        <family val="3"/>
        <charset val="128"/>
      </rPr>
      <t>（会社施設利用時）</t>
    </r>
    <rPh sb="0" eb="2">
      <t>ジッチ</t>
    </rPh>
    <rPh sb="2" eb="5">
      <t>ケンシュウチュウ</t>
    </rPh>
    <rPh sb="6" eb="8">
      <t>シュクシャ</t>
    </rPh>
    <rPh sb="8" eb="9">
      <t>ヒ</t>
    </rPh>
    <rPh sb="10" eb="12">
      <t>カイシャ</t>
    </rPh>
    <rPh sb="12" eb="14">
      <t>シセツ</t>
    </rPh>
    <rPh sb="14" eb="16">
      <t>リヨウ</t>
    </rPh>
    <rPh sb="16" eb="17">
      <t>ジ</t>
    </rPh>
    <phoneticPr fontId="2"/>
  </si>
  <si>
    <t>②</t>
    <phoneticPr fontId="2"/>
  </si>
  <si>
    <t>③</t>
    <phoneticPr fontId="2"/>
  </si>
  <si>
    <t>一般研修コース：</t>
    <rPh sb="0" eb="2">
      <t>イッパン</t>
    </rPh>
    <rPh sb="2" eb="4">
      <t>ケンシュウ</t>
    </rPh>
    <phoneticPr fontId="2"/>
  </si>
  <si>
    <t>9D,A9D</t>
    <phoneticPr fontId="2"/>
  </si>
  <si>
    <t>(A)企業が立替える</t>
    <rPh sb="6" eb="8">
      <t>タテカ</t>
    </rPh>
    <phoneticPr fontId="2"/>
  </si>
  <si>
    <t>研修期間　：</t>
    <rPh sb="0" eb="2">
      <t>ケンシュウ</t>
    </rPh>
    <rPh sb="2" eb="4">
      <t>キカン</t>
    </rPh>
    <phoneticPr fontId="2"/>
  </si>
  <si>
    <t>補助対象日数　：</t>
    <rPh sb="0" eb="2">
      <t>ホジョ</t>
    </rPh>
    <rPh sb="2" eb="4">
      <t>タイショウ</t>
    </rPh>
    <rPh sb="4" eb="6">
      <t>ニッスウ</t>
    </rPh>
    <phoneticPr fontId="2"/>
  </si>
  <si>
    <t>日数
(来日日含まず)</t>
    <rPh sb="0" eb="2">
      <t>ニッスウ</t>
    </rPh>
    <rPh sb="4" eb="6">
      <t>ライニチ</t>
    </rPh>
    <rPh sb="6" eb="7">
      <t>ビ</t>
    </rPh>
    <rPh sb="7" eb="8">
      <t>フク</t>
    </rPh>
    <phoneticPr fontId="2"/>
  </si>
  <si>
    <t>日 （来日日を含む）</t>
    <rPh sb="3" eb="5">
      <t>ライニチ</t>
    </rPh>
    <rPh sb="5" eb="6">
      <t>ビ</t>
    </rPh>
    <rPh sb="7" eb="8">
      <t>フク</t>
    </rPh>
    <phoneticPr fontId="2"/>
  </si>
  <si>
    <t>企業が立替える受入費（A)</t>
    <rPh sb="7" eb="9">
      <t>ウケイレ</t>
    </rPh>
    <rPh sb="9" eb="10">
      <t>ヒ</t>
    </rPh>
    <phoneticPr fontId="2"/>
  </si>
  <si>
    <t>AOTS制度利用の費用試算（企業受入・一人あたり）</t>
    <rPh sb="6" eb="8">
      <t>リヨウ</t>
    </rPh>
    <rPh sb="19" eb="21">
      <t>ヒトリ</t>
    </rPh>
    <phoneticPr fontId="2"/>
  </si>
  <si>
    <t>AOTS研修ｺｰｽ</t>
    <phoneticPr fontId="2"/>
  </si>
  <si>
    <t>【受入費の流れ（AOTSと企業の精算）】</t>
    <rPh sb="1" eb="3">
      <t>ウケイレ</t>
    </rPh>
    <rPh sb="3" eb="4">
      <t>ヒ</t>
    </rPh>
    <rPh sb="5" eb="6">
      <t>ナガ</t>
    </rPh>
    <rPh sb="13" eb="15">
      <t>キギョウ</t>
    </rPh>
    <rPh sb="16" eb="18">
      <t>セイサン</t>
    </rPh>
    <phoneticPr fontId="2"/>
  </si>
  <si>
    <t>AOTSが直接執行した受入費</t>
    <rPh sb="5" eb="7">
      <t>チョクセツ</t>
    </rPh>
    <rPh sb="7" eb="9">
      <t>シッコウ</t>
    </rPh>
    <rPh sb="11" eb="13">
      <t>ウケイレ</t>
    </rPh>
    <rPh sb="13" eb="14">
      <t>ヒ</t>
    </rPh>
    <phoneticPr fontId="2"/>
  </si>
  <si>
    <t xml:space="preserve">(B)AOTSに払う </t>
    <rPh sb="8" eb="9">
      <t>ハラ</t>
    </rPh>
    <phoneticPr fontId="23"/>
  </si>
  <si>
    <t>企業とAOTSの精算</t>
    <rPh sb="0" eb="2">
      <t>キギョウ</t>
    </rPh>
    <rPh sb="8" eb="10">
      <t>セイサン</t>
    </rPh>
    <phoneticPr fontId="23"/>
  </si>
  <si>
    <t>AOTSから企業へお支払いいたします</t>
    <rPh sb="6" eb="8">
      <t>キギョウ</t>
    </rPh>
    <rPh sb="10" eb="12">
      <t>シハラ</t>
    </rPh>
    <phoneticPr fontId="2"/>
  </si>
  <si>
    <t>AOTSが直接執行した
受入費</t>
    <rPh sb="5" eb="7">
      <t>チョクセツ</t>
    </rPh>
    <rPh sb="7" eb="9">
      <t>シッコウ</t>
    </rPh>
    <rPh sb="12" eb="14">
      <t>ウケイレ</t>
    </rPh>
    <rPh sb="14" eb="15">
      <t>ヒ</t>
    </rPh>
    <phoneticPr fontId="2"/>
  </si>
  <si>
    <t>企業が立て替える
受入費</t>
    <rPh sb="0" eb="2">
      <t>キギョウ</t>
    </rPh>
    <rPh sb="3" eb="4">
      <t>タ</t>
    </rPh>
    <rPh sb="5" eb="6">
      <t>カ</t>
    </rPh>
    <rPh sb="9" eb="11">
      <t>ウケイレ</t>
    </rPh>
    <rPh sb="11" eb="12">
      <t>ヒ</t>
    </rPh>
    <phoneticPr fontId="2"/>
  </si>
  <si>
    <r>
      <t xml:space="preserve"> ※ 累計差引支払額が</t>
    </r>
    <r>
      <rPr>
        <sz val="10"/>
        <color indexed="10"/>
        <rFont val="ＭＳ Ｐゴシック"/>
        <family val="3"/>
        <charset val="128"/>
      </rPr>
      <t>プラスになった時点</t>
    </r>
    <r>
      <rPr>
        <sz val="10"/>
        <rFont val="ＭＳ Ｐゴシック"/>
        <family val="3"/>
        <charset val="128"/>
      </rPr>
      <t>（灰色の月）以降、AOTSから受入企業へ当月差引支払額が支払われます。</t>
    </r>
    <rPh sb="21" eb="23">
      <t>ハイイロ</t>
    </rPh>
    <phoneticPr fontId="2"/>
  </si>
  <si>
    <t>企業からAOTSへお支払いいただきます</t>
    <rPh sb="0" eb="2">
      <t>キギョウ</t>
    </rPh>
    <rPh sb="10" eb="12">
      <t>シハラ</t>
    </rPh>
    <phoneticPr fontId="2"/>
  </si>
  <si>
    <t>研修実施分担金額</t>
    <rPh sb="0" eb="2">
      <t>ケンシュウ</t>
    </rPh>
    <rPh sb="2" eb="4">
      <t>ジッシ</t>
    </rPh>
    <rPh sb="4" eb="6">
      <t>ブンタン</t>
    </rPh>
    <rPh sb="6" eb="8">
      <t>キンガク</t>
    </rPh>
    <phoneticPr fontId="2"/>
  </si>
  <si>
    <r>
      <rPr>
        <sz val="10"/>
        <color theme="1"/>
        <rFont val="ＭＳ Ｐゴシック"/>
        <family val="3"/>
        <charset val="128"/>
      </rPr>
      <t>★★</t>
    </r>
    <r>
      <rPr>
        <sz val="11"/>
        <color theme="1"/>
        <rFont val="ＭＳ Ｐゴシック"/>
        <family val="3"/>
        <charset val="128"/>
      </rPr>
      <t>研修実施分担金額</t>
    </r>
    <rPh sb="2" eb="4">
      <t>ケンシュウ</t>
    </rPh>
    <rPh sb="4" eb="6">
      <t>ジッシ</t>
    </rPh>
    <rPh sb="6" eb="8">
      <t>ブンタン</t>
    </rPh>
    <rPh sb="8" eb="10">
      <t>キンガク</t>
    </rPh>
    <phoneticPr fontId="2"/>
  </si>
  <si>
    <t>★受入分担金</t>
    <phoneticPr fontId="2"/>
  </si>
  <si>
    <t>（受入分担金）</t>
    <phoneticPr fontId="2"/>
  </si>
  <si>
    <t>受入分担金</t>
    <phoneticPr fontId="2"/>
  </si>
  <si>
    <t>★受入分担金</t>
    <phoneticPr fontId="2"/>
  </si>
  <si>
    <t>受入分担金</t>
    <phoneticPr fontId="2"/>
  </si>
  <si>
    <t>国内移動費</t>
    <phoneticPr fontId="2"/>
  </si>
  <si>
    <t>受入費</t>
    <phoneticPr fontId="2"/>
  </si>
  <si>
    <t>国内移動費　：</t>
    <rPh sb="0" eb="2">
      <t>コクナイ</t>
    </rPh>
    <rPh sb="2" eb="4">
      <t>イドウ</t>
    </rPh>
    <rPh sb="4" eb="5">
      <t>ヒ</t>
    </rPh>
    <phoneticPr fontId="2"/>
  </si>
  <si>
    <t>国内移動費</t>
    <rPh sb="0" eb="2">
      <t>コクナイ</t>
    </rPh>
    <rPh sb="2" eb="5">
      <t>イドウヒ</t>
    </rPh>
    <phoneticPr fontId="2"/>
  </si>
  <si>
    <t>当月差引支払額（②-③）</t>
    <rPh sb="0" eb="2">
      <t>トウゲツ</t>
    </rPh>
    <rPh sb="2" eb="4">
      <t>サシヒキ</t>
    </rPh>
    <rPh sb="4" eb="6">
      <t>シハライ</t>
    </rPh>
    <rPh sb="6" eb="7">
      <t>ガク</t>
    </rPh>
    <phoneticPr fontId="2"/>
  </si>
  <si>
    <t>基準額超過分は全額受入企業負担</t>
    <rPh sb="2" eb="3">
      <t>ガク</t>
    </rPh>
    <rPh sb="7" eb="9">
      <t>ゼンガク</t>
    </rPh>
    <phoneticPr fontId="2"/>
  </si>
  <si>
    <t>【海外旅行保険】</t>
    <rPh sb="1" eb="7">
      <t>カイガイリョコウホケン</t>
    </rPh>
    <phoneticPr fontId="2"/>
  </si>
  <si>
    <t>月数</t>
    <rPh sb="0" eb="1">
      <t>ツキ</t>
    </rPh>
    <rPh sb="1" eb="2">
      <t>スウ</t>
    </rPh>
    <phoneticPr fontId="2"/>
  </si>
  <si>
    <t>日数</t>
    <rPh sb="0" eb="1">
      <t>ニチ</t>
    </rPh>
    <rPh sb="1" eb="2">
      <t>スウ</t>
    </rPh>
    <phoneticPr fontId="2"/>
  </si>
  <si>
    <t>研修期間</t>
    <rPh sb="0" eb="2">
      <t>ケンシュウ</t>
    </rPh>
    <rPh sb="2" eb="4">
      <t>キカン</t>
    </rPh>
    <phoneticPr fontId="2"/>
  </si>
  <si>
    <t>該当項目</t>
    <rPh sb="0" eb="2">
      <t>ガイトウ</t>
    </rPh>
    <rPh sb="2" eb="4">
      <t>コウモク</t>
    </rPh>
    <phoneticPr fontId="5"/>
  </si>
  <si>
    <t>保険日数</t>
    <rPh sb="0" eb="2">
      <t>ホケン</t>
    </rPh>
    <rPh sb="2" eb="4">
      <t>ニッスウ</t>
    </rPh>
    <phoneticPr fontId="5"/>
  </si>
  <si>
    <t>保険料合計</t>
    <rPh sb="0" eb="2">
      <t>ホケン</t>
    </rPh>
    <rPh sb="2" eb="3">
      <t>リョウ</t>
    </rPh>
    <rPh sb="3" eb="5">
      <t>ゴウケイ</t>
    </rPh>
    <phoneticPr fontId="5"/>
  </si>
  <si>
    <t>2ヶ月まで</t>
    <rPh sb="2" eb="3">
      <t>ゲツ</t>
    </rPh>
    <phoneticPr fontId="5"/>
  </si>
  <si>
    <t>3ヶ月まで</t>
    <rPh sb="2" eb="3">
      <t>ゲツ</t>
    </rPh>
    <phoneticPr fontId="5"/>
  </si>
  <si>
    <t>4ヶ月まで</t>
    <rPh sb="2" eb="3">
      <t>ゲツ</t>
    </rPh>
    <phoneticPr fontId="5"/>
  </si>
  <si>
    <t>5ヶ月まで</t>
    <rPh sb="2" eb="3">
      <t>ゲツ</t>
    </rPh>
    <phoneticPr fontId="5"/>
  </si>
  <si>
    <t>6ヶ月まで</t>
    <rPh sb="2" eb="3">
      <t>ゲツ</t>
    </rPh>
    <phoneticPr fontId="5"/>
  </si>
  <si>
    <t>7ヶ月まで</t>
    <rPh sb="2" eb="3">
      <t>ゲツ</t>
    </rPh>
    <phoneticPr fontId="5"/>
  </si>
  <si>
    <t>8ヶ月まで</t>
    <rPh sb="2" eb="3">
      <t>ゲツ</t>
    </rPh>
    <phoneticPr fontId="5"/>
  </si>
  <si>
    <t>9ヶ月まで</t>
    <rPh sb="2" eb="3">
      <t>ゲツ</t>
    </rPh>
    <phoneticPr fontId="5"/>
  </si>
  <si>
    <t>10ヶ月まで</t>
    <rPh sb="3" eb="4">
      <t>ゲツ</t>
    </rPh>
    <phoneticPr fontId="5"/>
  </si>
  <si>
    <t>11ヶ月まで</t>
    <rPh sb="3" eb="4">
      <t>ゲツ</t>
    </rPh>
    <phoneticPr fontId="5"/>
  </si>
  <si>
    <t>12ヶ月まで</t>
    <rPh sb="3" eb="4">
      <t>ゲツ</t>
    </rPh>
    <phoneticPr fontId="5"/>
  </si>
  <si>
    <t>海外旅行保険</t>
    <rPh sb="0" eb="6">
      <t>カイガイリョコウホケン</t>
    </rPh>
    <phoneticPr fontId="2"/>
  </si>
  <si>
    <t>3)　AOTSにて直接執行した受入費（研修センター利用料）・海外旅行保険</t>
    <phoneticPr fontId="3"/>
  </si>
  <si>
    <t>海外旅行保険</t>
    <phoneticPr fontId="2"/>
  </si>
  <si>
    <t xml:space="preserve"> センター利用料</t>
    <phoneticPr fontId="2"/>
  </si>
  <si>
    <t xml:space="preserve"> 海外旅行保険</t>
    <rPh sb="1" eb="7">
      <t>カイガイリョコウホケン</t>
    </rPh>
    <phoneticPr fontId="23"/>
  </si>
  <si>
    <t xml:space="preserve"> 渡航費</t>
  </si>
  <si>
    <t xml:space="preserve"> 宿舎費</t>
  </si>
  <si>
    <t xml:space="preserve"> 食費</t>
  </si>
  <si>
    <t xml:space="preserve"> 雑費</t>
  </si>
  <si>
    <t xml:space="preserve"> 実地研修費</t>
  </si>
  <si>
    <t xml:space="preserve"> 国内移動費</t>
  </si>
  <si>
    <t>海外旅行保険</t>
    <rPh sb="0" eb="6">
      <t>カイガイリョコウホケン</t>
    </rPh>
    <phoneticPr fontId="2"/>
  </si>
  <si>
    <t xml:space="preserve"> ※ 渡航費、歯科診療費、国民健康保険料等に加え、外部宿舎費の上限額を超える部分は、この表に含まれておりません。</t>
    <rPh sb="7" eb="12">
      <t>シカシンリョウヒ</t>
    </rPh>
    <rPh sb="13" eb="20">
      <t>コクミンケンコウホケンリョウ</t>
    </rPh>
    <rPh sb="20" eb="21">
      <t>トウ</t>
    </rPh>
    <rPh sb="22" eb="23">
      <t>クワ</t>
    </rPh>
    <phoneticPr fontId="2"/>
  </si>
  <si>
    <t>国内移動費</t>
    <rPh sb="0" eb="5">
      <t>コクナイイドウヒ</t>
    </rPh>
    <phoneticPr fontId="2"/>
  </si>
  <si>
    <t>※受入費には歯科診療費、国民健康保険料等も含まれます（上記試算表には未織込み、受入企業負担あり）。</t>
    <rPh sb="1" eb="4">
      <t>ウケイレヒ</t>
    </rPh>
    <rPh sb="6" eb="11">
      <t>シカシンリョウヒ</t>
    </rPh>
    <rPh sb="12" eb="16">
      <t>コクミンケンコウ</t>
    </rPh>
    <rPh sb="16" eb="18">
      <t>ホケン</t>
    </rPh>
    <rPh sb="18" eb="19">
      <t>リョウ</t>
    </rPh>
    <rPh sb="19" eb="20">
      <t>トウ</t>
    </rPh>
    <rPh sb="21" eb="22">
      <t>フク</t>
    </rPh>
    <rPh sb="27" eb="29">
      <t>ジョウキ</t>
    </rPh>
    <rPh sb="29" eb="32">
      <t>シサンヒョウ</t>
    </rPh>
    <rPh sb="34" eb="36">
      <t>ミオ</t>
    </rPh>
    <rPh sb="36" eb="37">
      <t>コ</t>
    </rPh>
    <rPh sb="39" eb="43">
      <t>ウケイレキギョウ</t>
    </rPh>
    <rPh sb="43" eb="45">
      <t>フタン</t>
    </rPh>
    <phoneticPr fontId="2"/>
  </si>
  <si>
    <t>分担金</t>
    <rPh sb="0" eb="2">
      <t>ブンタン</t>
    </rPh>
    <phoneticPr fontId="2"/>
  </si>
  <si>
    <t>研修実施</t>
    <rPh sb="0" eb="2">
      <t>ケンシュウ</t>
    </rPh>
    <rPh sb="2" eb="4">
      <t>ジッシ</t>
    </rPh>
    <phoneticPr fontId="2"/>
  </si>
  <si>
    <t>研修費附帯費</t>
    <rPh sb="0" eb="2">
      <t>ケンシュウ</t>
    </rPh>
    <rPh sb="2" eb="3">
      <t>ヒ</t>
    </rPh>
    <rPh sb="3" eb="5">
      <t>フタイ</t>
    </rPh>
    <rPh sb="5" eb="6">
      <t>ヒ</t>
    </rPh>
    <phoneticPr fontId="2"/>
  </si>
  <si>
    <t>総額</t>
    <rPh sb="0" eb="2">
      <t>ソウガク</t>
    </rPh>
    <phoneticPr fontId="2"/>
  </si>
  <si>
    <t>日程表の項番に対応</t>
    <phoneticPr fontId="2"/>
  </si>
  <si>
    <t>補助金と分担金</t>
    <rPh sb="4" eb="6">
      <t>ブンタン</t>
    </rPh>
    <phoneticPr fontId="2"/>
  </si>
  <si>
    <t>2)　分担金　[受入企業負担の総額]</t>
    <rPh sb="3" eb="5">
      <t>ブンタン</t>
    </rPh>
    <rPh sb="5" eb="6">
      <t>キン</t>
    </rPh>
    <rPh sb="15" eb="17">
      <t>ソウガク</t>
    </rPh>
    <phoneticPr fontId="2"/>
  </si>
  <si>
    <t>分担金</t>
    <rPh sb="0" eb="2">
      <t>ブンタン</t>
    </rPh>
    <rPh sb="2" eb="3">
      <t>キン</t>
    </rPh>
    <phoneticPr fontId="2"/>
  </si>
  <si>
    <t>技術協力活用型・新興国市場開拓事業（研修・専門家派遣・寄附講座開設事業）／大企業（重点分野）</t>
    <rPh sb="27" eb="29">
      <t>キフ</t>
    </rPh>
    <rPh sb="29" eb="31">
      <t>コウザ</t>
    </rPh>
    <rPh sb="31" eb="33">
      <t>カイセツ</t>
    </rPh>
    <rPh sb="37" eb="38">
      <t>ダイ</t>
    </rPh>
    <rPh sb="38" eb="40">
      <t>キギョウ</t>
    </rPh>
    <rPh sb="41" eb="43">
      <t>ジュウテン</t>
    </rPh>
    <rPh sb="43" eb="45">
      <t>ブンヤ</t>
    </rPh>
    <phoneticPr fontId="2"/>
  </si>
  <si>
    <t>技術協力活用型・新興国市場開拓事業（研修・専門家派遣・寄附講座開設事業）／大企業（一般分野）</t>
    <rPh sb="37" eb="40">
      <t>ダイキギョウ</t>
    </rPh>
    <rPh sb="41" eb="43">
      <t>イッパン</t>
    </rPh>
    <rPh sb="43" eb="45">
      <t>ブンヤ</t>
    </rPh>
    <phoneticPr fontId="2"/>
  </si>
  <si>
    <t>技術協力活用型・新興国市場開拓事業（研修・専門家派遣・寄附講座開設事業）／中堅・中小企業</t>
    <rPh sb="37" eb="39">
      <t>チュウケン</t>
    </rPh>
    <phoneticPr fontId="2"/>
  </si>
  <si>
    <t>技術協力活用型・新興国市場開拓事業（研修・専門家派遣・寄附講座開設事業）／大企業（アフリカ案件）</t>
    <rPh sb="37" eb="40">
      <t>ダイキギョウ</t>
    </rPh>
    <rPh sb="45" eb="47">
      <t>アンケン</t>
    </rPh>
    <phoneticPr fontId="2"/>
  </si>
  <si>
    <t>技術協力活用型・新興国市場開拓事業（研修・専門家派遣・寄附講座開設事業）／中堅・中小企業（アフリカ案件）</t>
    <rPh sb="37" eb="39">
      <t>チュウケン</t>
    </rPh>
    <rPh sb="49" eb="51">
      <t>アンケン</t>
    </rPh>
    <phoneticPr fontId="2"/>
  </si>
  <si>
    <t>アジア等ゼロエミッション化人材育成等事業　低炭素技術輸出分野に係る人材育成事業／大企業</t>
    <rPh sb="40" eb="43">
      <t>ダイキギョウ</t>
    </rPh>
    <phoneticPr fontId="2"/>
  </si>
  <si>
    <t>アジア等ゼロエミッション化人材育成等事業　低炭素技術輸出分野に係る人材育成事業／中堅・中小企業</t>
    <rPh sb="40" eb="42">
      <t>チュウケン</t>
    </rPh>
    <phoneticPr fontId="2"/>
  </si>
  <si>
    <t>アジア等ゼロエミッション化人材育成等事業　低炭素技術輸出分野に係る人材育成事業／高等教育機関、公益法人</t>
    <phoneticPr fontId="2"/>
  </si>
  <si>
    <t>（アジア等ゼロエミッション化人材育成等事業のみ補助対象）</t>
    <rPh sb="23" eb="25">
      <t>ホジョ</t>
    </rPh>
    <rPh sb="25" eb="27">
      <t>タイショウ</t>
    </rPh>
    <phoneticPr fontId="2"/>
  </si>
  <si>
    <t>渡航費補助</t>
    <rPh sb="0" eb="3">
      <t>トコウヒ</t>
    </rPh>
    <rPh sb="3" eb="5">
      <t>ホジョ</t>
    </rPh>
    <phoneticPr fontId="2"/>
  </si>
  <si>
    <t>対象外</t>
    <rPh sb="0" eb="3">
      <t>タイショウガイ</t>
    </rPh>
    <phoneticPr fontId="2"/>
  </si>
  <si>
    <t>対象</t>
    <rPh sb="0" eb="2">
      <t>タイショウ</t>
    </rPh>
    <phoneticPr fontId="2"/>
  </si>
  <si>
    <t>※ただし、技術協力活用型・新興国事業開拓事業では、アフリカからの参加の場合、渡航費が補助対象となります。</t>
    <rPh sb="5" eb="9">
      <t>ギジュツキョウリョク</t>
    </rPh>
    <rPh sb="9" eb="12">
      <t>カツヨウガタ</t>
    </rPh>
    <rPh sb="13" eb="16">
      <t>シンコウコク</t>
    </rPh>
    <rPh sb="16" eb="18">
      <t>ジギョウ</t>
    </rPh>
    <rPh sb="18" eb="20">
      <t>カイタク</t>
    </rPh>
    <rPh sb="20" eb="22">
      <t>ジギョウ</t>
    </rPh>
    <rPh sb="32" eb="34">
      <t>サンカ</t>
    </rPh>
    <rPh sb="35" eb="37">
      <t>バアイ</t>
    </rPh>
    <rPh sb="38" eb="41">
      <t>トコウヒ</t>
    </rPh>
    <rPh sb="42" eb="44">
      <t>ホジョ</t>
    </rPh>
    <rPh sb="44" eb="46">
      <t>タイショウ</t>
    </rPh>
    <phoneticPr fontId="2"/>
  </si>
  <si>
    <r>
      <t>渡航費</t>
    </r>
    <r>
      <rPr>
        <sz val="10"/>
        <color rgb="FFFF0000"/>
        <rFont val="ＭＳ Ｐゴシック"/>
        <family val="3"/>
        <charset val="128"/>
      </rPr>
      <t>（ゼロエミ事業のみ補助対象）</t>
    </r>
    <rPh sb="0" eb="3">
      <t>トコウヒ</t>
    </rPh>
    <rPh sb="8" eb="10">
      <t>ジギョウ</t>
    </rPh>
    <rPh sb="12" eb="14">
      <t>ホジョ</t>
    </rPh>
    <rPh sb="14" eb="16">
      <t>タイショウ</t>
    </rPh>
    <phoneticPr fontId="2"/>
  </si>
  <si>
    <t>KKC</t>
    <phoneticPr fontId="2"/>
  </si>
  <si>
    <t>TKC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</si>
</sst>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_ "/>
    <numFmt numFmtId="177" formatCode="#,##0;[Red]#,##0"/>
    <numFmt numFmtId="178" formatCode="###&quot;日&quot;"/>
    <numFmt numFmtId="179" formatCode="#,##0_ ;[Red]\-#,##0\ "/>
    <numFmt numFmtId="180" formatCode="##&quot;日&quot;"/>
    <numFmt numFmtId="181" formatCode="0_);[Red]\(0\)"/>
    <numFmt numFmtId="182" formatCode="##&quot;回&quot;"/>
    <numFmt numFmtId="183" formatCode="[$-F800]dddd\,\ mmmm\ dd\,\ yyyy"/>
    <numFmt numFmtId="184" formatCode="General&quot;日&quot;"/>
    <numFmt numFmtId="185" formatCode="General&quot;月&quot;"/>
    <numFmt numFmtId="186" formatCode="&quot;～&quot;m/d"/>
    <numFmt numFmtId="187" formatCode="&quot;(&quot;m/d&quot;～)&quot;"/>
    <numFmt numFmtId="188" formatCode="&quot;(～&quot;m/d&quot;)&quot;"/>
    <numFmt numFmtId="189" formatCode="@&quot;～&quot;"/>
    <numFmt numFmtId="190" formatCode="yyyy/mm/dd"/>
    <numFmt numFmtId="191" formatCode="0&quot;日まで&quot;"/>
    <numFmt numFmtId="192" formatCode="0&quot;日&quot;"/>
    <numFmt numFmtId="193" formatCode="\(\ #,##0\)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b/>
      <i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b/>
      <sz val="11"/>
      <color rgb="FF0343F7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343F7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thick">
        <color indexed="12"/>
      </top>
      <bottom style="thick">
        <color indexed="12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12"/>
      </top>
      <bottom style="thick">
        <color indexed="12"/>
      </bottom>
      <diagonal/>
    </border>
    <border>
      <left/>
      <right style="thin">
        <color indexed="64"/>
      </right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medium">
        <color indexed="64"/>
      </right>
      <top style="thick">
        <color indexed="12"/>
      </top>
      <bottom style="thick">
        <color indexed="1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12"/>
      </top>
      <bottom style="thick">
        <color indexed="12"/>
      </bottom>
      <diagonal/>
    </border>
    <border>
      <left style="medium">
        <color indexed="64"/>
      </left>
      <right/>
      <top style="double">
        <color indexed="64"/>
      </top>
      <bottom style="thick">
        <color indexed="12"/>
      </bottom>
      <diagonal/>
    </border>
    <border>
      <left/>
      <right/>
      <top style="double">
        <color indexed="64"/>
      </top>
      <bottom style="thick">
        <color indexed="12"/>
      </bottom>
      <diagonal/>
    </border>
    <border>
      <left/>
      <right style="medium">
        <color indexed="64"/>
      </right>
      <top style="double">
        <color indexed="64"/>
      </top>
      <bottom style="thick">
        <color indexed="12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12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theme="1" tint="0.499984740745262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theme="1" tint="0.499984740745262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theme="1" tint="0.499984740745262"/>
      </bottom>
      <diagonal/>
    </border>
    <border>
      <left style="medium">
        <color indexed="64"/>
      </left>
      <right style="hair">
        <color indexed="64"/>
      </right>
      <top style="hair">
        <color theme="1" tint="0.499984740745262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theme="1" tint="0.499984740745262"/>
      </top>
      <bottom style="dashed">
        <color indexed="64"/>
      </bottom>
      <diagonal/>
    </border>
    <border>
      <left/>
      <right/>
      <top style="dashed">
        <color indexed="64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hair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hair">
        <color theme="1" tint="0.499984740745262"/>
      </bottom>
      <diagonal/>
    </border>
    <border>
      <left style="thin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hair">
        <color theme="1" tint="0.499984740745262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theme="1" tint="0.499984740745262"/>
      </bottom>
      <diagonal/>
    </border>
    <border>
      <left style="dashed">
        <color indexed="64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</cellStyleXfs>
  <cellXfs count="797">
    <xf numFmtId="0" fontId="0" fillId="0" borderId="0" xfId="0"/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14" fontId="4" fillId="0" borderId="15" xfId="0" applyNumberFormat="1" applyFont="1" applyBorder="1" applyAlignment="1">
      <alignment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41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41" fontId="4" fillId="0" borderId="32" xfId="0" applyNumberFormat="1" applyFont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0" fontId="4" fillId="0" borderId="40" xfId="0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 indent="1"/>
    </xf>
    <xf numFmtId="0" fontId="4" fillId="0" borderId="54" xfId="0" applyFont="1" applyBorder="1" applyAlignment="1">
      <alignment horizontal="left" vertical="center" indent="1"/>
    </xf>
    <xf numFmtId="0" fontId="4" fillId="0" borderId="58" xfId="0" applyFont="1" applyBorder="1" applyAlignment="1">
      <alignment vertical="center"/>
    </xf>
    <xf numFmtId="14" fontId="4" fillId="0" borderId="56" xfId="0" applyNumberFormat="1" applyFont="1" applyBorder="1" applyAlignment="1">
      <alignment vertical="center"/>
    </xf>
    <xf numFmtId="14" fontId="4" fillId="0" borderId="58" xfId="0" applyNumberFormat="1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41" fontId="4" fillId="0" borderId="79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/>
    </xf>
    <xf numFmtId="41" fontId="4" fillId="0" borderId="7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7" xfId="2" applyFont="1" applyBorder="1" applyAlignment="1">
      <alignment horizontal="center" vertical="center"/>
    </xf>
    <xf numFmtId="38" fontId="4" fillId="0" borderId="34" xfId="1" applyFont="1" applyBorder="1" applyAlignment="1" applyProtection="1">
      <alignment vertical="center"/>
    </xf>
    <xf numFmtId="38" fontId="4" fillId="0" borderId="18" xfId="1" applyFont="1" applyBorder="1" applyAlignment="1" applyProtection="1">
      <alignment vertical="center"/>
    </xf>
    <xf numFmtId="189" fontId="4" fillId="0" borderId="77" xfId="0" applyNumberFormat="1" applyFont="1" applyBorder="1" applyAlignment="1">
      <alignment vertical="center"/>
    </xf>
    <xf numFmtId="0" fontId="4" fillId="0" borderId="205" xfId="0" applyFont="1" applyBorder="1" applyAlignment="1">
      <alignment horizontal="center" vertical="center"/>
    </xf>
    <xf numFmtId="0" fontId="4" fillId="0" borderId="86" xfId="0" applyFont="1" applyBorder="1" applyAlignment="1">
      <alignment vertical="center"/>
    </xf>
    <xf numFmtId="0" fontId="4" fillId="0" borderId="207" xfId="0" applyFont="1" applyBorder="1" applyAlignment="1">
      <alignment horizontal="center" vertical="center"/>
    </xf>
    <xf numFmtId="0" fontId="4" fillId="0" borderId="81" xfId="0" applyFont="1" applyBorder="1" applyAlignment="1">
      <alignment vertical="center"/>
    </xf>
    <xf numFmtId="0" fontId="4" fillId="3" borderId="84" xfId="0" applyFont="1" applyFill="1" applyBorder="1" applyAlignment="1">
      <alignment horizontal="center" vertical="center"/>
    </xf>
    <xf numFmtId="179" fontId="4" fillId="2" borderId="0" xfId="1" applyNumberFormat="1" applyFont="1" applyFill="1" applyBorder="1" applyAlignment="1" applyProtection="1">
      <protection locked="0"/>
    </xf>
    <xf numFmtId="0" fontId="4" fillId="10" borderId="9" xfId="0" applyFont="1" applyFill="1" applyBorder="1" applyAlignment="1">
      <alignment vertical="center"/>
    </xf>
    <xf numFmtId="190" fontId="4" fillId="10" borderId="126" xfId="0" applyNumberFormat="1" applyFont="1" applyFill="1" applyBorder="1" applyAlignment="1">
      <alignment horizontal="center" vertical="center"/>
    </xf>
    <xf numFmtId="190" fontId="4" fillId="10" borderId="50" xfId="0" applyNumberFormat="1" applyFont="1" applyFill="1" applyBorder="1" applyAlignment="1">
      <alignment horizontal="center" vertical="center"/>
    </xf>
    <xf numFmtId="0" fontId="4" fillId="10" borderId="50" xfId="0" applyFont="1" applyFill="1" applyBorder="1" applyAlignment="1">
      <alignment horizontal="center" vertical="center"/>
    </xf>
    <xf numFmtId="181" fontId="4" fillId="10" borderId="10" xfId="0" applyNumberFormat="1" applyFont="1" applyFill="1" applyBorder="1" applyAlignment="1">
      <alignment vertical="center"/>
    </xf>
    <xf numFmtId="0" fontId="4" fillId="10" borderId="69" xfId="0" applyFont="1" applyFill="1" applyBorder="1" applyAlignment="1">
      <alignment vertical="center"/>
    </xf>
    <xf numFmtId="0" fontId="4" fillId="10" borderId="158" xfId="0" applyFont="1" applyFill="1" applyBorder="1" applyAlignment="1">
      <alignment horizontal="center" vertical="center"/>
    </xf>
    <xf numFmtId="190" fontId="4" fillId="10" borderId="176" xfId="0" applyNumberFormat="1" applyFont="1" applyFill="1" applyBorder="1" applyAlignment="1">
      <alignment horizontal="center" vertical="center"/>
    </xf>
    <xf numFmtId="190" fontId="4" fillId="10" borderId="70" xfId="0" applyNumberFormat="1" applyFont="1" applyFill="1" applyBorder="1" applyAlignment="1">
      <alignment horizontal="center" vertical="center"/>
    </xf>
    <xf numFmtId="0" fontId="4" fillId="10" borderId="70" xfId="0" applyFont="1" applyFill="1" applyBorder="1" applyAlignment="1">
      <alignment horizontal="center" vertical="center"/>
    </xf>
    <xf numFmtId="181" fontId="4" fillId="10" borderId="71" xfId="0" applyNumberFormat="1" applyFont="1" applyFill="1" applyBorder="1" applyAlignment="1">
      <alignment vertical="center"/>
    </xf>
    <xf numFmtId="0" fontId="4" fillId="10" borderId="14" xfId="0" applyFont="1" applyFill="1" applyBorder="1" applyAlignment="1">
      <alignment vertical="center"/>
    </xf>
    <xf numFmtId="190" fontId="4" fillId="10" borderId="33" xfId="0" applyNumberFormat="1" applyFont="1" applyFill="1" applyBorder="1" applyAlignment="1">
      <alignment horizontal="center" vertical="center"/>
    </xf>
    <xf numFmtId="190" fontId="4" fillId="10" borderId="32" xfId="0" applyNumberFormat="1" applyFont="1" applyFill="1" applyBorder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181" fontId="4" fillId="10" borderId="16" xfId="0" applyNumberFormat="1" applyFont="1" applyFill="1" applyBorder="1" applyAlignment="1">
      <alignment vertical="center"/>
    </xf>
    <xf numFmtId="0" fontId="4" fillId="10" borderId="17" xfId="0" applyFont="1" applyFill="1" applyBorder="1" applyAlignment="1">
      <alignment vertical="center"/>
    </xf>
    <xf numFmtId="190" fontId="4" fillId="10" borderId="38" xfId="0" applyNumberFormat="1" applyFont="1" applyFill="1" applyBorder="1" applyAlignment="1">
      <alignment horizontal="center" vertical="center"/>
    </xf>
    <xf numFmtId="0" fontId="4" fillId="10" borderId="38" xfId="0" applyFont="1" applyFill="1" applyBorder="1" applyAlignment="1">
      <alignment horizontal="center" vertical="center"/>
    </xf>
    <xf numFmtId="181" fontId="4" fillId="10" borderId="18" xfId="0" applyNumberFormat="1" applyFont="1" applyFill="1" applyBorder="1" applyAlignment="1">
      <alignment vertical="center"/>
    </xf>
    <xf numFmtId="0" fontId="4" fillId="10" borderId="55" xfId="0" applyFont="1" applyFill="1" applyBorder="1"/>
    <xf numFmtId="0" fontId="4" fillId="10" borderId="61" xfId="0" applyFont="1" applyFill="1" applyBorder="1" applyAlignment="1">
      <alignment vertical="center"/>
    </xf>
    <xf numFmtId="0" fontId="4" fillId="0" borderId="55" xfId="0" applyFont="1" applyBorder="1" applyAlignment="1">
      <alignment vertical="center"/>
    </xf>
    <xf numFmtId="14" fontId="4" fillId="0" borderId="59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4" fillId="0" borderId="20" xfId="0" applyNumberFormat="1" applyFont="1" applyBorder="1" applyAlignment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indent="1"/>
    </xf>
    <xf numFmtId="0" fontId="4" fillId="0" borderId="57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51" xfId="0" applyFont="1" applyBorder="1" applyAlignment="1">
      <alignment horizontal="left" vertical="center"/>
    </xf>
    <xf numFmtId="0" fontId="4" fillId="0" borderId="74" xfId="0" applyFont="1" applyBorder="1" applyAlignment="1">
      <alignment horizontal="right" vertical="center"/>
    </xf>
    <xf numFmtId="0" fontId="4" fillId="0" borderId="206" xfId="0" applyFont="1" applyBorder="1" applyAlignment="1">
      <alignment horizontal="center" vertical="center"/>
    </xf>
    <xf numFmtId="0" fontId="4" fillId="0" borderId="76" xfId="0" applyFont="1" applyBorder="1" applyAlignment="1">
      <alignment vertical="center"/>
    </xf>
    <xf numFmtId="41" fontId="4" fillId="0" borderId="35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22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right" vertical="center"/>
    </xf>
    <xf numFmtId="41" fontId="4" fillId="0" borderId="25" xfId="0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41" fontId="4" fillId="0" borderId="26" xfId="0" applyNumberFormat="1" applyFont="1" applyBorder="1" applyAlignment="1">
      <alignment vertical="center"/>
    </xf>
    <xf numFmtId="41" fontId="4" fillId="0" borderId="8" xfId="0" applyNumberFormat="1" applyFont="1" applyBorder="1" applyAlignment="1">
      <alignment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41" fontId="4" fillId="0" borderId="37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41" fontId="4" fillId="0" borderId="38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/>
    </xf>
    <xf numFmtId="12" fontId="4" fillId="0" borderId="10" xfId="0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12" fontId="4" fillId="0" borderId="16" xfId="0" applyNumberFormat="1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41" fontId="4" fillId="0" borderId="68" xfId="0" applyNumberFormat="1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157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24" fillId="11" borderId="143" xfId="0" applyFont="1" applyFill="1" applyBorder="1" applyAlignment="1">
      <alignment vertical="center"/>
    </xf>
    <xf numFmtId="0" fontId="24" fillId="11" borderId="133" xfId="0" applyFont="1" applyFill="1" applyBorder="1" applyAlignment="1">
      <alignment vertical="center"/>
    </xf>
    <xf numFmtId="0" fontId="10" fillId="11" borderId="154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1" fontId="4" fillId="0" borderId="189" xfId="0" applyNumberFormat="1" applyFont="1" applyBorder="1" applyAlignment="1">
      <alignment vertical="center"/>
    </xf>
    <xf numFmtId="41" fontId="4" fillId="0" borderId="104" xfId="0" applyNumberFormat="1" applyFont="1" applyBorder="1" applyAlignment="1">
      <alignment vertical="center"/>
    </xf>
    <xf numFmtId="179" fontId="4" fillId="2" borderId="0" xfId="0" applyNumberFormat="1" applyFont="1" applyFill="1" applyAlignment="1" applyProtection="1">
      <alignment vertical="center"/>
      <protection locked="0"/>
    </xf>
    <xf numFmtId="0" fontId="24" fillId="14" borderId="4" xfId="0" applyFont="1" applyFill="1" applyBorder="1" applyAlignment="1">
      <alignment horizontal="center" vertical="center"/>
    </xf>
    <xf numFmtId="0" fontId="24" fillId="14" borderId="227" xfId="0" applyFont="1" applyFill="1" applyBorder="1" applyAlignment="1">
      <alignment horizontal="center" vertical="center"/>
    </xf>
    <xf numFmtId="0" fontId="24" fillId="14" borderId="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15" borderId="133" xfId="0" applyFont="1" applyFill="1" applyBorder="1" applyAlignment="1">
      <alignment horizontal="left" vertical="center" indent="1"/>
    </xf>
    <xf numFmtId="14" fontId="4" fillId="15" borderId="0" xfId="0" applyNumberFormat="1" applyFont="1" applyFill="1" applyAlignment="1">
      <alignment vertical="center"/>
    </xf>
    <xf numFmtId="0" fontId="4" fillId="15" borderId="48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10" fillId="11" borderId="72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11" xfId="0" applyBorder="1"/>
    <xf numFmtId="0" fontId="12" fillId="0" borderId="0" xfId="0" applyFont="1"/>
    <xf numFmtId="0" fontId="0" fillId="0" borderId="0" xfId="0" applyAlignment="1">
      <alignment horizontal="right"/>
    </xf>
    <xf numFmtId="0" fontId="16" fillId="0" borderId="134" xfId="0" applyFont="1" applyBorder="1" applyAlignment="1">
      <alignment vertical="center"/>
    </xf>
    <xf numFmtId="0" fontId="16" fillId="13" borderId="31" xfId="0" applyFont="1" applyFill="1" applyBorder="1" applyAlignment="1">
      <alignment horizontal="centerContinuous" vertical="center"/>
    </xf>
    <xf numFmtId="0" fontId="16" fillId="13" borderId="33" xfId="0" applyFont="1" applyFill="1" applyBorder="1" applyAlignment="1">
      <alignment horizontal="centerContinuous" vertical="center"/>
    </xf>
    <xf numFmtId="0" fontId="16" fillId="13" borderId="15" xfId="0" applyFont="1" applyFill="1" applyBorder="1" applyAlignment="1">
      <alignment horizontal="centerContinuous" vertical="center"/>
    </xf>
    <xf numFmtId="0" fontId="16" fillId="13" borderId="32" xfId="0" applyFont="1" applyFill="1" applyBorder="1" applyAlignment="1">
      <alignment horizontal="center" vertical="center"/>
    </xf>
    <xf numFmtId="0" fontId="0" fillId="0" borderId="45" xfId="0" applyBorder="1" applyAlignment="1">
      <alignment vertical="distributed"/>
    </xf>
    <xf numFmtId="0" fontId="0" fillId="0" borderId="60" xfId="0" applyBorder="1" applyAlignment="1">
      <alignment vertical="center"/>
    </xf>
    <xf numFmtId="0" fontId="0" fillId="0" borderId="217" xfId="0" applyBorder="1" applyAlignment="1">
      <alignment vertical="center"/>
    </xf>
    <xf numFmtId="0" fontId="0" fillId="0" borderId="59" xfId="0" applyBorder="1" applyAlignment="1">
      <alignment vertical="center"/>
    </xf>
    <xf numFmtId="179" fontId="0" fillId="5" borderId="218" xfId="1" applyNumberFormat="1" applyFont="1" applyFill="1" applyBorder="1" applyAlignment="1" applyProtection="1">
      <alignment vertical="center"/>
    </xf>
    <xf numFmtId="0" fontId="0" fillId="0" borderId="217" xfId="0" applyBorder="1"/>
    <xf numFmtId="0" fontId="0" fillId="0" borderId="12" xfId="0" applyBorder="1" applyAlignment="1">
      <alignment vertical="center" textRotation="255"/>
    </xf>
    <xf numFmtId="0" fontId="0" fillId="0" borderId="66" xfId="0" applyBorder="1" applyAlignment="1">
      <alignment vertical="center"/>
    </xf>
    <xf numFmtId="0" fontId="0" fillId="0" borderId="215" xfId="0" applyBorder="1" applyAlignment="1">
      <alignment vertical="center"/>
    </xf>
    <xf numFmtId="0" fontId="0" fillId="0" borderId="58" xfId="0" applyBorder="1" applyAlignment="1">
      <alignment vertical="center"/>
    </xf>
    <xf numFmtId="179" fontId="0" fillId="5" borderId="216" xfId="1" applyNumberFormat="1" applyFont="1" applyFill="1" applyBorder="1" applyAlignment="1" applyProtection="1">
      <alignment vertical="center"/>
    </xf>
    <xf numFmtId="0" fontId="0" fillId="0" borderId="215" xfId="0" applyBorder="1"/>
    <xf numFmtId="179" fontId="0" fillId="5" borderId="84" xfId="0" applyNumberFormat="1" applyFill="1" applyBorder="1" applyAlignment="1">
      <alignment vertical="center"/>
    </xf>
    <xf numFmtId="17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32" xfId="0" applyBorder="1" applyAlignment="1">
      <alignment vertical="distributed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3" xfId="0" applyBorder="1" applyAlignment="1">
      <alignment vertical="center"/>
    </xf>
    <xf numFmtId="179" fontId="0" fillId="5" borderId="32" xfId="1" applyNumberFormat="1" applyFont="1" applyFill="1" applyBorder="1" applyAlignment="1" applyProtection="1">
      <alignment vertical="center"/>
    </xf>
    <xf numFmtId="0" fontId="0" fillId="0" borderId="33" xfId="0" applyBorder="1"/>
    <xf numFmtId="0" fontId="4" fillId="0" borderId="0" xfId="0" applyFont="1" applyAlignment="1">
      <alignment horizontal="left" vertical="top"/>
    </xf>
    <xf numFmtId="179" fontId="4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center" textRotation="255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17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6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12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82" xfId="0" applyFont="1" applyFill="1" applyBorder="1" applyAlignment="1">
      <alignment horizontal="right" vertical="center" wrapText="1"/>
    </xf>
    <xf numFmtId="12" fontId="15" fillId="4" borderId="173" xfId="0" applyNumberFormat="1" applyFont="1" applyFill="1" applyBorder="1" applyAlignment="1">
      <alignment horizontal="left" vertical="center"/>
    </xf>
    <xf numFmtId="0" fontId="15" fillId="4" borderId="84" xfId="0" applyFont="1" applyFill="1" applyBorder="1" applyAlignment="1">
      <alignment horizontal="right" vertical="center"/>
    </xf>
    <xf numFmtId="12" fontId="15" fillId="4" borderId="85" xfId="0" applyNumberFormat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211" xfId="0" applyFont="1" applyBorder="1" applyAlignment="1">
      <alignment vertical="center"/>
    </xf>
    <xf numFmtId="179" fontId="0" fillId="0" borderId="210" xfId="1" applyNumberFormat="1" applyFont="1" applyBorder="1" applyAlignment="1" applyProtection="1">
      <alignment vertical="center"/>
    </xf>
    <xf numFmtId="179" fontId="0" fillId="0" borderId="210" xfId="0" applyNumberFormat="1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4" fillId="0" borderId="15" xfId="0" applyFont="1" applyBorder="1" applyAlignment="1">
      <alignment vertical="center" wrapText="1"/>
    </xf>
    <xf numFmtId="179" fontId="0" fillId="0" borderId="15" xfId="1" applyNumberFormat="1" applyFont="1" applyBorder="1" applyAlignment="1" applyProtection="1">
      <alignment vertical="center"/>
    </xf>
    <xf numFmtId="179" fontId="0" fillId="0" borderId="15" xfId="0" applyNumberFormat="1" applyBorder="1" applyAlignment="1">
      <alignment vertical="center"/>
    </xf>
    <xf numFmtId="0" fontId="0" fillId="0" borderId="114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8" xfId="0" applyFont="1" applyBorder="1" applyAlignment="1">
      <alignment vertical="center" wrapText="1"/>
    </xf>
    <xf numFmtId="179" fontId="0" fillId="0" borderId="33" xfId="1" applyNumberFormat="1" applyFont="1" applyBorder="1" applyAlignment="1" applyProtection="1">
      <alignment vertical="center"/>
    </xf>
    <xf numFmtId="179" fontId="0" fillId="0" borderId="32" xfId="0" applyNumberFormat="1" applyBorder="1" applyAlignment="1">
      <alignment horizontal="right" vertical="center"/>
    </xf>
    <xf numFmtId="179" fontId="0" fillId="0" borderId="19" xfId="0" applyNumberForma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4" fillId="0" borderId="249" xfId="0" applyFont="1" applyBorder="1" applyAlignment="1">
      <alignment vertical="center" wrapText="1"/>
    </xf>
    <xf numFmtId="179" fontId="0" fillId="0" borderId="176" xfId="1" applyNumberFormat="1" applyFont="1" applyBorder="1" applyAlignment="1" applyProtection="1">
      <alignment vertical="center"/>
    </xf>
    <xf numFmtId="179" fontId="0" fillId="0" borderId="70" xfId="0" applyNumberFormat="1" applyBorder="1" applyAlignment="1">
      <alignment vertical="center"/>
    </xf>
    <xf numFmtId="179" fontId="0" fillId="0" borderId="46" xfId="0" applyNumberForma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84" xfId="0" applyNumberFormat="1" applyBorder="1" applyAlignment="1">
      <alignment horizontal="centerContinuous" vertical="center"/>
    </xf>
    <xf numFmtId="0" fontId="0" fillId="12" borderId="45" xfId="0" applyFill="1" applyBorder="1" applyAlignment="1">
      <alignment horizontal="left" vertical="center"/>
    </xf>
    <xf numFmtId="0" fontId="0" fillId="12" borderId="163" xfId="0" applyFill="1" applyBorder="1" applyAlignment="1">
      <alignment horizontal="left" vertical="center"/>
    </xf>
    <xf numFmtId="0" fontId="4" fillId="12" borderId="260" xfId="0" applyFont="1" applyFill="1" applyBorder="1" applyAlignment="1">
      <alignment vertical="center" wrapText="1"/>
    </xf>
    <xf numFmtId="179" fontId="0" fillId="0" borderId="251" xfId="1" applyNumberFormat="1" applyFont="1" applyBorder="1" applyAlignment="1" applyProtection="1">
      <alignment vertical="center"/>
    </xf>
    <xf numFmtId="179" fontId="0" fillId="0" borderId="250" xfId="0" applyNumberFormat="1" applyBorder="1" applyAlignment="1">
      <alignment vertical="center"/>
    </xf>
    <xf numFmtId="179" fontId="0" fillId="0" borderId="252" xfId="0" applyNumberFormat="1" applyBorder="1" applyAlignment="1">
      <alignment vertical="center"/>
    </xf>
    <xf numFmtId="0" fontId="25" fillId="0" borderId="143" xfId="0" applyFont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38" fontId="26" fillId="7" borderId="140" xfId="0" applyNumberFormat="1" applyFont="1" applyFill="1" applyBorder="1" applyAlignment="1">
      <alignment horizontal="left" vertical="center"/>
    </xf>
    <xf numFmtId="38" fontId="26" fillId="7" borderId="141" xfId="0" applyNumberFormat="1" applyFont="1" applyFill="1" applyBorder="1" applyAlignment="1">
      <alignment horizontal="left" vertical="center"/>
    </xf>
    <xf numFmtId="38" fontId="25" fillId="7" borderId="142" xfId="0" applyNumberFormat="1" applyFont="1" applyFill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12" borderId="12" xfId="0" applyFill="1" applyBorder="1" applyAlignment="1">
      <alignment horizontal="left" vertical="center"/>
    </xf>
    <xf numFmtId="0" fontId="0" fillId="12" borderId="11" xfId="0" applyFill="1" applyBorder="1" applyAlignment="1">
      <alignment horizontal="left" vertical="center"/>
    </xf>
    <xf numFmtId="0" fontId="4" fillId="12" borderId="261" xfId="0" applyFont="1" applyFill="1" applyBorder="1" applyAlignment="1">
      <alignment vertical="center" wrapText="1"/>
    </xf>
    <xf numFmtId="179" fontId="0" fillId="0" borderId="256" xfId="1" applyNumberFormat="1" applyFont="1" applyBorder="1" applyAlignment="1" applyProtection="1">
      <alignment vertical="center"/>
    </xf>
    <xf numFmtId="179" fontId="0" fillId="0" borderId="255" xfId="0" applyNumberFormat="1" applyBorder="1" applyAlignment="1">
      <alignment vertical="center"/>
    </xf>
    <xf numFmtId="179" fontId="0" fillId="0" borderId="257" xfId="0" applyNumberFormat="1" applyBorder="1" applyAlignment="1">
      <alignment vertical="center"/>
    </xf>
    <xf numFmtId="0" fontId="0" fillId="0" borderId="133" xfId="0" applyBorder="1" applyAlignment="1">
      <alignment horizontal="center" vertical="center"/>
    </xf>
    <xf numFmtId="0" fontId="25" fillId="7" borderId="43" xfId="0" applyFont="1" applyFill="1" applyBorder="1" applyAlignment="1">
      <alignment vertical="center"/>
    </xf>
    <xf numFmtId="0" fontId="25" fillId="7" borderId="0" xfId="0" applyFont="1" applyFill="1" applyAlignment="1">
      <alignment vertical="center"/>
    </xf>
    <xf numFmtId="38" fontId="25" fillId="0" borderId="0" xfId="1" applyFont="1" applyFill="1" applyBorder="1" applyAlignment="1" applyProtection="1">
      <alignment vertical="center"/>
    </xf>
    <xf numFmtId="0" fontId="26" fillId="0" borderId="0" xfId="0" applyFont="1" applyAlignment="1">
      <alignment vertical="center"/>
    </xf>
    <xf numFmtId="0" fontId="0" fillId="0" borderId="47" xfId="0" applyBorder="1" applyAlignment="1">
      <alignment horizontal="left" vertical="center"/>
    </xf>
    <xf numFmtId="0" fontId="4" fillId="0" borderId="260" xfId="0" applyFont="1" applyBorder="1" applyAlignment="1">
      <alignment vertical="center" wrapText="1"/>
    </xf>
    <xf numFmtId="3" fontId="25" fillId="0" borderId="133" xfId="0" applyNumberFormat="1" applyFont="1" applyBorder="1" applyAlignment="1">
      <alignment horizontal="center" vertical="center"/>
    </xf>
    <xf numFmtId="179" fontId="25" fillId="7" borderId="48" xfId="1" applyNumberFormat="1" applyFont="1" applyFill="1" applyBorder="1" applyAlignment="1" applyProtection="1">
      <alignment vertical="center"/>
    </xf>
    <xf numFmtId="0" fontId="28" fillId="0" borderId="0" xfId="0" applyFont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4" fillId="0" borderId="261" xfId="0" applyFont="1" applyBorder="1" applyAlignment="1">
      <alignment vertical="center" wrapText="1"/>
    </xf>
    <xf numFmtId="0" fontId="26" fillId="8" borderId="43" xfId="0" applyFont="1" applyFill="1" applyBorder="1" applyAlignment="1">
      <alignment vertical="center"/>
    </xf>
    <xf numFmtId="0" fontId="26" fillId="8" borderId="0" xfId="0" applyFont="1" applyFill="1" applyAlignment="1">
      <alignment vertical="center"/>
    </xf>
    <xf numFmtId="179" fontId="0" fillId="0" borderId="126" xfId="1" applyNumberFormat="1" applyFont="1" applyBorder="1" applyAlignment="1" applyProtection="1">
      <alignment vertical="center"/>
    </xf>
    <xf numFmtId="179" fontId="0" fillId="0" borderId="50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3" fontId="0" fillId="0" borderId="133" xfId="0" applyNumberFormat="1" applyBorder="1" applyAlignment="1">
      <alignment horizontal="center" vertical="center"/>
    </xf>
    <xf numFmtId="0" fontId="25" fillId="8" borderId="43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179" fontId="25" fillId="8" borderId="48" xfId="1" applyNumberFormat="1" applyFont="1" applyFill="1" applyBorder="1" applyAlignment="1" applyProtection="1">
      <alignment vertical="center"/>
    </xf>
    <xf numFmtId="0" fontId="25" fillId="0" borderId="43" xfId="0" applyFont="1" applyBorder="1" applyAlignment="1">
      <alignment vertical="center"/>
    </xf>
    <xf numFmtId="179" fontId="25" fillId="0" borderId="48" xfId="1" applyNumberFormat="1" applyFont="1" applyBorder="1" applyAlignment="1" applyProtection="1">
      <alignment horizontal="right" vertical="center"/>
    </xf>
    <xf numFmtId="0" fontId="0" fillId="0" borderId="163" xfId="0" applyBorder="1" applyAlignment="1">
      <alignment vertical="center"/>
    </xf>
    <xf numFmtId="0" fontId="0" fillId="0" borderId="43" xfId="0" applyBorder="1" applyAlignment="1">
      <alignment vertical="center"/>
    </xf>
    <xf numFmtId="179" fontId="0" fillId="0" borderId="48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9" xfId="0" applyBorder="1" applyAlignment="1">
      <alignment vertical="center"/>
    </xf>
    <xf numFmtId="179" fontId="0" fillId="0" borderId="38" xfId="1" applyNumberFormat="1" applyFont="1" applyBorder="1" applyAlignment="1" applyProtection="1">
      <alignment horizontal="right" vertical="center" indent="1"/>
    </xf>
    <xf numFmtId="179" fontId="0" fillId="0" borderId="38" xfId="0" applyNumberFormat="1" applyBorder="1" applyAlignment="1">
      <alignment horizontal="right" vertical="center" indent="1"/>
    </xf>
    <xf numFmtId="179" fontId="0" fillId="0" borderId="68" xfId="0" applyNumberFormat="1" applyBorder="1" applyAlignment="1">
      <alignment vertical="center"/>
    </xf>
    <xf numFmtId="179" fontId="25" fillId="0" borderId="48" xfId="1" applyNumberFormat="1" applyFont="1" applyBorder="1" applyAlignment="1" applyProtection="1">
      <alignment vertical="center"/>
    </xf>
    <xf numFmtId="177" fontId="3" fillId="0" borderId="170" xfId="0" applyNumberFormat="1" applyFont="1" applyBorder="1" applyAlignment="1">
      <alignment vertical="center"/>
    </xf>
    <xf numFmtId="3" fontId="25" fillId="6" borderId="133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Continuous" vertical="center"/>
    </xf>
    <xf numFmtId="0" fontId="25" fillId="0" borderId="0" xfId="0" applyFont="1" applyAlignment="1">
      <alignment horizontal="centerContinuous" vertical="center" wrapText="1"/>
    </xf>
    <xf numFmtId="0" fontId="4" fillId="0" borderId="141" xfId="0" applyFont="1" applyBorder="1"/>
    <xf numFmtId="0" fontId="3" fillId="0" borderId="141" xfId="0" applyFont="1" applyBorder="1" applyAlignment="1">
      <alignment horizontal="center"/>
    </xf>
    <xf numFmtId="0" fontId="30" fillId="0" borderId="0" xfId="0" applyFont="1" applyAlignment="1">
      <alignment horizontal="right" vertical="center"/>
    </xf>
    <xf numFmtId="3" fontId="0" fillId="6" borderId="133" xfId="0" applyNumberFormat="1" applyFill="1" applyBorder="1" applyAlignment="1">
      <alignment horizontal="center" vertical="center"/>
    </xf>
    <xf numFmtId="38" fontId="25" fillId="0" borderId="0" xfId="1" applyFont="1" applyFill="1" applyBorder="1" applyAlignment="1" applyProtection="1">
      <alignment horizontal="centerContinuous" vertical="center"/>
    </xf>
    <xf numFmtId="0" fontId="0" fillId="6" borderId="138" xfId="0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1" applyNumberFormat="1" applyFont="1" applyFill="1" applyBorder="1" applyAlignment="1" applyProtection="1">
      <alignment vertical="center"/>
    </xf>
    <xf numFmtId="3" fontId="25" fillId="9" borderId="133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horizontal="centerContinuous" vertical="center"/>
    </xf>
    <xf numFmtId="0" fontId="15" fillId="4" borderId="189" xfId="0" applyFont="1" applyFill="1" applyBorder="1" applyAlignment="1">
      <alignment horizontal="center" vertical="center"/>
    </xf>
    <xf numFmtId="177" fontId="16" fillId="4" borderId="104" xfId="0" applyNumberFormat="1" applyFont="1" applyFill="1" applyBorder="1" applyAlignment="1">
      <alignment horizontal="center" vertical="center"/>
    </xf>
    <xf numFmtId="3" fontId="25" fillId="9" borderId="9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79" fontId="0" fillId="5" borderId="10" xfId="0" applyNumberFormat="1" applyFill="1" applyBorder="1" applyAlignment="1">
      <alignment vertical="center"/>
    </xf>
    <xf numFmtId="0" fontId="25" fillId="0" borderId="133" xfId="0" applyFont="1" applyBorder="1" applyAlignment="1">
      <alignment horizontal="center" vertical="center"/>
    </xf>
    <xf numFmtId="179" fontId="1" fillId="0" borderId="50" xfId="1" applyNumberFormat="1" applyFont="1" applyBorder="1" applyAlignment="1" applyProtection="1">
      <alignment vertical="center"/>
    </xf>
    <xf numFmtId="182" fontId="0" fillId="0" borderId="50" xfId="0" applyNumberFormat="1" applyBorder="1" applyAlignment="1">
      <alignment vertical="center"/>
    </xf>
    <xf numFmtId="179" fontId="0" fillId="5" borderId="16" xfId="0" applyNumberFormat="1" applyFill="1" applyBorder="1" applyAlignment="1">
      <alignment vertical="center"/>
    </xf>
    <xf numFmtId="0" fontId="14" fillId="0" borderId="171" xfId="0" applyFont="1" applyBorder="1" applyAlignment="1">
      <alignment vertical="center"/>
    </xf>
    <xf numFmtId="0" fontId="14" fillId="0" borderId="84" xfId="0" applyFont="1" applyBorder="1" applyAlignment="1">
      <alignment vertical="center"/>
    </xf>
    <xf numFmtId="38" fontId="14" fillId="0" borderId="174" xfId="1" applyFont="1" applyBorder="1" applyAlignment="1" applyProtection="1">
      <alignment vertical="center"/>
    </xf>
    <xf numFmtId="178" fontId="14" fillId="0" borderId="174" xfId="0" applyNumberFormat="1" applyFont="1" applyBorder="1" applyAlignment="1">
      <alignment vertical="center"/>
    </xf>
    <xf numFmtId="179" fontId="14" fillId="5" borderId="167" xfId="0" applyNumberFormat="1" applyFont="1" applyFill="1" applyBorder="1" applyAlignment="1">
      <alignment vertical="center"/>
    </xf>
    <xf numFmtId="3" fontId="25" fillId="0" borderId="0" xfId="0" applyNumberFormat="1" applyFont="1" applyAlignment="1">
      <alignment horizontal="centerContinuous" vertical="center" wrapText="1"/>
    </xf>
    <xf numFmtId="3" fontId="25" fillId="0" borderId="0" xfId="0" applyNumberFormat="1" applyFont="1" applyAlignment="1">
      <alignment horizontal="center" vertical="center"/>
    </xf>
    <xf numFmtId="179" fontId="3" fillId="5" borderId="170" xfId="1" applyNumberFormat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3" fontId="25" fillId="6" borderId="143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138" xfId="0" applyBorder="1" applyAlignment="1">
      <alignment horizontal="center" vertical="center"/>
    </xf>
    <xf numFmtId="3" fontId="25" fillId="9" borderId="1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1" applyNumberFormat="1" applyFont="1" applyBorder="1" applyAlignment="1" applyProtection="1">
      <alignment vertical="center"/>
    </xf>
    <xf numFmtId="0" fontId="0" fillId="0" borderId="48" xfId="0" applyBorder="1" applyAlignment="1">
      <alignment vertical="center"/>
    </xf>
    <xf numFmtId="3" fontId="25" fillId="9" borderId="138" xfId="0" applyNumberFormat="1" applyFont="1" applyFill="1" applyBorder="1" applyAlignment="1">
      <alignment horizontal="center" vertical="center"/>
    </xf>
    <xf numFmtId="0" fontId="4" fillId="0" borderId="168" xfId="0" applyFont="1" applyBorder="1" applyAlignment="1">
      <alignment vertical="center"/>
    </xf>
    <xf numFmtId="180" fontId="0" fillId="0" borderId="32" xfId="0" applyNumberFormat="1" applyBorder="1" applyAlignment="1">
      <alignment horizontal="right" vertical="center"/>
    </xf>
    <xf numFmtId="179" fontId="0" fillId="5" borderId="19" xfId="0" applyNumberFormat="1" applyFill="1" applyBorder="1" applyAlignment="1">
      <alignment vertical="center"/>
    </xf>
    <xf numFmtId="0" fontId="25" fillId="0" borderId="84" xfId="0" applyFont="1" applyBorder="1" applyAlignment="1">
      <alignment horizontal="center" vertical="center"/>
    </xf>
    <xf numFmtId="178" fontId="0" fillId="0" borderId="32" xfId="0" applyNumberFormat="1" applyBorder="1" applyAlignment="1">
      <alignment vertical="center"/>
    </xf>
    <xf numFmtId="0" fontId="0" fillId="0" borderId="212" xfId="0" applyBorder="1" applyAlignment="1">
      <alignment horizontal="left" vertical="center"/>
    </xf>
    <xf numFmtId="0" fontId="4" fillId="0" borderId="260" xfId="0" applyFont="1" applyBorder="1" applyAlignment="1">
      <alignment vertical="center"/>
    </xf>
    <xf numFmtId="178" fontId="0" fillId="0" borderId="250" xfId="0" applyNumberFormat="1" applyBorder="1" applyAlignment="1">
      <alignment vertical="center"/>
    </xf>
    <xf numFmtId="179" fontId="0" fillId="5" borderId="252" xfId="0" applyNumberFormat="1" applyFill="1" applyBorder="1" applyAlignment="1">
      <alignment vertical="center"/>
    </xf>
    <xf numFmtId="38" fontId="25" fillId="0" borderId="13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213" xfId="0" applyBorder="1" applyAlignment="1">
      <alignment horizontal="left" vertical="center"/>
    </xf>
    <xf numFmtId="0" fontId="4" fillId="0" borderId="261" xfId="0" applyFont="1" applyBorder="1" applyAlignment="1">
      <alignment vertical="center"/>
    </xf>
    <xf numFmtId="178" fontId="0" fillId="0" borderId="255" xfId="0" applyNumberFormat="1" applyBorder="1" applyAlignment="1">
      <alignment vertical="center"/>
    </xf>
    <xf numFmtId="179" fontId="0" fillId="5" borderId="257" xfId="0" applyNumberFormat="1" applyFill="1" applyBorder="1" applyAlignment="1">
      <alignment vertical="center"/>
    </xf>
    <xf numFmtId="0" fontId="29" fillId="0" borderId="0" xfId="0" applyFont="1" applyAlignment="1">
      <alignment vertical="center"/>
    </xf>
    <xf numFmtId="0" fontId="0" fillId="0" borderId="84" xfId="0" applyBorder="1" applyAlignment="1">
      <alignment vertical="center"/>
    </xf>
    <xf numFmtId="0" fontId="4" fillId="0" borderId="172" xfId="0" applyFont="1" applyBorder="1" applyAlignment="1">
      <alignment vertical="center"/>
    </xf>
    <xf numFmtId="179" fontId="0" fillId="0" borderId="173" xfId="1" applyNumberFormat="1" applyFont="1" applyBorder="1" applyAlignment="1" applyProtection="1">
      <alignment vertical="center"/>
    </xf>
    <xf numFmtId="184" fontId="0" fillId="0" borderId="174" xfId="0" applyNumberFormat="1" applyBorder="1" applyAlignment="1">
      <alignment vertical="center"/>
    </xf>
    <xf numFmtId="179" fontId="0" fillId="5" borderId="85" xfId="0" applyNumberFormat="1" applyFill="1" applyBorder="1" applyAlignment="1">
      <alignment vertical="center"/>
    </xf>
    <xf numFmtId="179" fontId="3" fillId="5" borderId="104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5" fillId="0" borderId="8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2" xfId="1" applyNumberFormat="1" applyFont="1" applyFill="1" applyBorder="1" applyAlignment="1" applyProtection="1">
      <alignment horizontal="center" vertical="center"/>
    </xf>
    <xf numFmtId="0" fontId="4" fillId="0" borderId="8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184" fontId="4" fillId="0" borderId="63" xfId="0" applyNumberFormat="1" applyFont="1" applyBorder="1" applyAlignment="1">
      <alignment vertical="center"/>
    </xf>
    <xf numFmtId="0" fontId="4" fillId="0" borderId="90" xfId="1" applyNumberFormat="1" applyFont="1" applyFill="1" applyBorder="1" applyAlignment="1" applyProtection="1">
      <alignment horizontal="center" vertical="center"/>
    </xf>
    <xf numFmtId="0" fontId="4" fillId="0" borderId="9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93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184" fontId="4" fillId="0" borderId="94" xfId="0" applyNumberFormat="1" applyFont="1" applyBorder="1" applyAlignment="1">
      <alignment vertical="center"/>
    </xf>
    <xf numFmtId="0" fontId="4" fillId="0" borderId="95" xfId="1" applyNumberFormat="1" applyFont="1" applyFill="1" applyBorder="1" applyAlignment="1" applyProtection="1">
      <alignment horizontal="center" vertical="center"/>
    </xf>
    <xf numFmtId="0" fontId="4" fillId="0" borderId="96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4" fillId="0" borderId="99" xfId="0" applyFont="1" applyBorder="1" applyAlignment="1">
      <alignment vertical="center"/>
    </xf>
    <xf numFmtId="184" fontId="4" fillId="0" borderId="99" xfId="0" applyNumberFormat="1" applyFont="1" applyBorder="1" applyAlignment="1">
      <alignment vertical="center"/>
    </xf>
    <xf numFmtId="0" fontId="10" fillId="4" borderId="100" xfId="1" applyNumberFormat="1" applyFont="1" applyFill="1" applyBorder="1" applyAlignment="1" applyProtection="1">
      <alignment horizontal="center" vertical="center"/>
    </xf>
    <xf numFmtId="41" fontId="10" fillId="4" borderId="41" xfId="0" applyNumberFormat="1" applyFont="1" applyFill="1" applyBorder="1" applyAlignment="1">
      <alignment horizontal="center" vertical="center"/>
    </xf>
    <xf numFmtId="41" fontId="10" fillId="4" borderId="101" xfId="0" applyNumberFormat="1" applyFont="1" applyFill="1" applyBorder="1" applyAlignment="1">
      <alignment horizontal="center" vertical="center"/>
    </xf>
    <xf numFmtId="41" fontId="10" fillId="4" borderId="102" xfId="0" applyNumberFormat="1" applyFont="1" applyFill="1" applyBorder="1" applyAlignment="1">
      <alignment horizontal="center" vertical="center"/>
    </xf>
    <xf numFmtId="41" fontId="10" fillId="4" borderId="103" xfId="0" applyNumberFormat="1" applyFont="1" applyFill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106" xfId="0" applyFont="1" applyBorder="1" applyAlignment="1">
      <alignment horizontal="right" vertical="center" indent="1"/>
    </xf>
    <xf numFmtId="0" fontId="4" fillId="0" borderId="106" xfId="0" applyFont="1" applyBorder="1" applyAlignment="1">
      <alignment vertical="center"/>
    </xf>
    <xf numFmtId="179" fontId="4" fillId="5" borderId="107" xfId="1" applyNumberFormat="1" applyFont="1" applyFill="1" applyBorder="1" applyAlignment="1" applyProtection="1">
      <alignment horizontal="right" vertical="center"/>
    </xf>
    <xf numFmtId="179" fontId="4" fillId="0" borderId="106" xfId="0" applyNumberFormat="1" applyFont="1" applyBorder="1" applyAlignment="1">
      <alignment horizontal="right" vertical="center"/>
    </xf>
    <xf numFmtId="179" fontId="4" fillId="0" borderId="112" xfId="0" applyNumberFormat="1" applyFont="1" applyBorder="1" applyAlignment="1">
      <alignment horizontal="right" vertical="center"/>
    </xf>
    <xf numFmtId="179" fontId="4" fillId="0" borderId="105" xfId="0" applyNumberFormat="1" applyFont="1" applyBorder="1" applyAlignment="1">
      <alignment horizontal="right" vertical="center"/>
    </xf>
    <xf numFmtId="179" fontId="4" fillId="0" borderId="113" xfId="0" applyNumberFormat="1" applyFont="1" applyBorder="1" applyAlignment="1">
      <alignment horizontal="right" vertical="center"/>
    </xf>
    <xf numFmtId="179" fontId="4" fillId="0" borderId="107" xfId="1" applyNumberFormat="1" applyFont="1" applyFill="1" applyBorder="1" applyAlignment="1" applyProtection="1">
      <alignment horizontal="right" vertical="center"/>
    </xf>
    <xf numFmtId="0" fontId="4" fillId="0" borderId="114" xfId="0" applyFont="1" applyBorder="1" applyAlignment="1">
      <alignment vertical="center"/>
    </xf>
    <xf numFmtId="0" fontId="7" fillId="0" borderId="229" xfId="0" applyFont="1" applyBorder="1" applyAlignment="1">
      <alignment vertical="center" wrapText="1"/>
    </xf>
    <xf numFmtId="179" fontId="4" fillId="5" borderId="231" xfId="0" applyNumberFormat="1" applyFont="1" applyFill="1" applyBorder="1" applyAlignment="1">
      <alignment horizontal="right" vertical="center"/>
    </xf>
    <xf numFmtId="184" fontId="4" fillId="0" borderId="247" xfId="1" applyNumberFormat="1" applyFont="1" applyBorder="1" applyAlignment="1" applyProtection="1">
      <alignment horizontal="right" vertical="center"/>
    </xf>
    <xf numFmtId="179" fontId="4" fillId="0" borderId="235" xfId="1" applyNumberFormat="1" applyFont="1" applyBorder="1" applyAlignment="1" applyProtection="1">
      <alignment horizontal="right" vertical="center"/>
    </xf>
    <xf numFmtId="184" fontId="4" fillId="0" borderId="234" xfId="1" applyNumberFormat="1" applyFont="1" applyBorder="1" applyAlignment="1" applyProtection="1">
      <alignment horizontal="right" vertical="center"/>
    </xf>
    <xf numFmtId="184" fontId="4" fillId="0" borderId="234" xfId="0" applyNumberFormat="1" applyFont="1" applyBorder="1" applyAlignment="1">
      <alignment horizontal="right" vertical="center"/>
    </xf>
    <xf numFmtId="179" fontId="4" fillId="0" borderId="244" xfId="0" applyNumberFormat="1" applyFont="1" applyBorder="1" applyAlignment="1">
      <alignment horizontal="right" vertical="center"/>
    </xf>
    <xf numFmtId="179" fontId="4" fillId="0" borderId="231" xfId="0" applyNumberFormat="1" applyFont="1" applyBorder="1" applyAlignment="1">
      <alignment horizontal="right" vertical="center"/>
    </xf>
    <xf numFmtId="0" fontId="4" fillId="0" borderId="105" xfId="0" applyFont="1" applyBorder="1" applyAlignment="1">
      <alignment vertical="top"/>
    </xf>
    <xf numFmtId="0" fontId="7" fillId="0" borderId="230" xfId="0" applyFont="1" applyBorder="1" applyAlignment="1">
      <alignment vertical="center" wrapText="1"/>
    </xf>
    <xf numFmtId="179" fontId="4" fillId="5" borderId="237" xfId="0" applyNumberFormat="1" applyFont="1" applyFill="1" applyBorder="1" applyAlignment="1">
      <alignment horizontal="right" vertical="center"/>
    </xf>
    <xf numFmtId="184" fontId="4" fillId="0" borderId="248" xfId="1" applyNumberFormat="1" applyFont="1" applyBorder="1" applyAlignment="1" applyProtection="1">
      <alignment horizontal="right" vertical="center"/>
    </xf>
    <xf numFmtId="179" fontId="4" fillId="0" borderId="241" xfId="1" applyNumberFormat="1" applyFont="1" applyBorder="1" applyAlignment="1" applyProtection="1">
      <alignment horizontal="right" vertical="center"/>
    </xf>
    <xf numFmtId="184" fontId="4" fillId="0" borderId="240" xfId="1" applyNumberFormat="1" applyFont="1" applyBorder="1" applyAlignment="1" applyProtection="1">
      <alignment horizontal="right" vertical="center"/>
    </xf>
    <xf numFmtId="184" fontId="4" fillId="0" borderId="240" xfId="0" applyNumberFormat="1" applyFont="1" applyBorder="1" applyAlignment="1">
      <alignment horizontal="right" vertical="center"/>
    </xf>
    <xf numFmtId="179" fontId="4" fillId="0" borderId="246" xfId="0" applyNumberFormat="1" applyFont="1" applyBorder="1" applyAlignment="1">
      <alignment horizontal="right" vertical="center"/>
    </xf>
    <xf numFmtId="179" fontId="4" fillId="0" borderId="237" xfId="0" applyNumberFormat="1" applyFont="1" applyBorder="1" applyAlignment="1">
      <alignment horizontal="right" vertical="center"/>
    </xf>
    <xf numFmtId="0" fontId="4" fillId="12" borderId="127" xfId="0" applyFont="1" applyFill="1" applyBorder="1" applyAlignment="1">
      <alignment vertical="center"/>
    </xf>
    <xf numFmtId="0" fontId="7" fillId="0" borderId="234" xfId="0" applyFont="1" applyBorder="1" applyAlignment="1">
      <alignment vertical="center"/>
    </xf>
    <xf numFmtId="184" fontId="4" fillId="0" borderId="243" xfId="1" applyNumberFormat="1" applyFont="1" applyBorder="1" applyAlignment="1" applyProtection="1">
      <alignment horizontal="right" vertical="center"/>
    </xf>
    <xf numFmtId="0" fontId="7" fillId="0" borderId="240" xfId="0" applyFont="1" applyBorder="1" applyAlignment="1">
      <alignment vertical="center"/>
    </xf>
    <xf numFmtId="184" fontId="4" fillId="0" borderId="245" xfId="1" applyNumberFormat="1" applyFont="1" applyBorder="1" applyAlignment="1" applyProtection="1">
      <alignment horizontal="right" vertical="center"/>
    </xf>
    <xf numFmtId="0" fontId="7" fillId="0" borderId="132" xfId="0" applyFont="1" applyBorder="1" applyAlignment="1">
      <alignment vertical="center" wrapText="1"/>
    </xf>
    <xf numFmtId="179" fontId="4" fillId="5" borderId="122" xfId="1" applyNumberFormat="1" applyFont="1" applyFill="1" applyBorder="1" applyAlignment="1" applyProtection="1">
      <alignment horizontal="right" vertical="center"/>
    </xf>
    <xf numFmtId="184" fontId="4" fillId="0" borderId="121" xfId="0" applyNumberFormat="1" applyFont="1" applyBorder="1" applyAlignment="1">
      <alignment horizontal="right" vertical="center"/>
    </xf>
    <xf numFmtId="179" fontId="4" fillId="0" borderId="123" xfId="0" applyNumberFormat="1" applyFont="1" applyBorder="1" applyAlignment="1">
      <alignment horizontal="right" vertical="center"/>
    </xf>
    <xf numFmtId="179" fontId="4" fillId="0" borderId="124" xfId="0" applyNumberFormat="1" applyFont="1" applyBorder="1" applyAlignment="1">
      <alignment horizontal="right" vertical="center"/>
    </xf>
    <xf numFmtId="179" fontId="4" fillId="0" borderId="122" xfId="0" applyNumberFormat="1" applyFont="1" applyBorder="1" applyAlignment="1">
      <alignment horizontal="right" vertical="center"/>
    </xf>
    <xf numFmtId="179" fontId="4" fillId="16" borderId="133" xfId="1" applyNumberFormat="1" applyFont="1" applyFill="1" applyBorder="1" applyAlignment="1" applyProtection="1">
      <alignment horizontal="right" vertical="center"/>
    </xf>
    <xf numFmtId="179" fontId="4" fillId="16" borderId="0" xfId="1" applyNumberFormat="1" applyFont="1" applyFill="1" applyBorder="1" applyAlignment="1" applyProtection="1">
      <alignment horizontal="right" vertical="center"/>
    </xf>
    <xf numFmtId="179" fontId="4" fillId="16" borderId="134" xfId="1" applyNumberFormat="1" applyFont="1" applyFill="1" applyBorder="1" applyAlignment="1" applyProtection="1">
      <alignment horizontal="right" vertical="center"/>
    </xf>
    <xf numFmtId="179" fontId="4" fillId="16" borderId="47" xfId="1" applyNumberFormat="1" applyFont="1" applyFill="1" applyBorder="1" applyAlignment="1" applyProtection="1">
      <alignment horizontal="right" vertical="center"/>
    </xf>
    <xf numFmtId="179" fontId="4" fillId="16" borderId="47" xfId="0" applyNumberFormat="1" applyFont="1" applyFill="1" applyBorder="1" applyAlignment="1">
      <alignment horizontal="right" vertical="center"/>
    </xf>
    <xf numFmtId="179" fontId="4" fillId="16" borderId="48" xfId="0" applyNumberFormat="1" applyFont="1" applyFill="1" applyBorder="1" applyAlignment="1">
      <alignment horizontal="right" vertical="center"/>
    </xf>
    <xf numFmtId="179" fontId="4" fillId="0" borderId="133" xfId="1" applyNumberFormat="1" applyFont="1" applyFill="1" applyBorder="1" applyAlignment="1" applyProtection="1">
      <alignment horizontal="right" vertical="center"/>
    </xf>
    <xf numFmtId="0" fontId="4" fillId="0" borderId="219" xfId="0" applyFont="1" applyBorder="1" applyAlignment="1">
      <alignment vertical="center"/>
    </xf>
    <xf numFmtId="0" fontId="4" fillId="0" borderId="220" xfId="0" applyFont="1" applyBorder="1" applyAlignment="1">
      <alignment vertical="center"/>
    </xf>
    <xf numFmtId="0" fontId="7" fillId="0" borderId="160" xfId="0" applyFont="1" applyBorder="1" applyAlignment="1">
      <alignment vertical="center"/>
    </xf>
    <xf numFmtId="179" fontId="4" fillId="5" borderId="143" xfId="0" applyNumberFormat="1" applyFont="1" applyFill="1" applyBorder="1" applyAlignment="1">
      <alignment horizontal="right" vertical="center"/>
    </xf>
    <xf numFmtId="179" fontId="4" fillId="0" borderId="141" xfId="0" applyNumberFormat="1" applyFont="1" applyBorder="1" applyAlignment="1">
      <alignment horizontal="right" vertical="center"/>
    </xf>
    <xf numFmtId="179" fontId="4" fillId="0" borderId="159" xfId="0" applyNumberFormat="1" applyFont="1" applyBorder="1" applyAlignment="1">
      <alignment horizontal="right" vertical="center"/>
    </xf>
    <xf numFmtId="179" fontId="4" fillId="0" borderId="228" xfId="0" applyNumberFormat="1" applyFont="1" applyBorder="1" applyAlignment="1">
      <alignment horizontal="right" vertical="center"/>
    </xf>
    <xf numFmtId="179" fontId="4" fillId="0" borderId="143" xfId="1" applyNumberFormat="1" applyFont="1" applyFill="1" applyBorder="1" applyAlignment="1" applyProtection="1">
      <alignment horizontal="right" vertical="center"/>
    </xf>
    <xf numFmtId="0" fontId="7" fillId="0" borderId="229" xfId="0" applyFont="1" applyBorder="1" applyAlignment="1">
      <alignment vertical="center"/>
    </xf>
    <xf numFmtId="179" fontId="4" fillId="5" borderId="231" xfId="1" applyNumberFormat="1" applyFont="1" applyFill="1" applyBorder="1" applyAlignment="1" applyProtection="1">
      <alignment horizontal="right" vertical="center"/>
    </xf>
    <xf numFmtId="184" fontId="4" fillId="0" borderId="232" xfId="0" applyNumberFormat="1" applyFont="1" applyBorder="1" applyAlignment="1">
      <alignment horizontal="right" vertical="center"/>
    </xf>
    <xf numFmtId="179" fontId="4" fillId="0" borderId="233" xfId="0" applyNumberFormat="1" applyFont="1" applyBorder="1" applyAlignment="1">
      <alignment horizontal="right" vertical="center"/>
    </xf>
    <xf numFmtId="179" fontId="4" fillId="0" borderId="235" xfId="0" applyNumberFormat="1" applyFont="1" applyBorder="1" applyAlignment="1">
      <alignment horizontal="right" vertical="center"/>
    </xf>
    <xf numFmtId="184" fontId="4" fillId="0" borderId="236" xfId="0" applyNumberFormat="1" applyFont="1" applyBorder="1" applyAlignment="1">
      <alignment horizontal="right" vertical="center"/>
    </xf>
    <xf numFmtId="179" fontId="4" fillId="0" borderId="231" xfId="1" applyNumberFormat="1" applyFont="1" applyFill="1" applyBorder="1" applyAlignment="1" applyProtection="1">
      <alignment horizontal="right" vertical="center"/>
    </xf>
    <xf numFmtId="0" fontId="7" fillId="0" borderId="230" xfId="0" applyFont="1" applyBorder="1" applyAlignment="1">
      <alignment vertical="center"/>
    </xf>
    <xf numFmtId="179" fontId="4" fillId="5" borderId="237" xfId="1" applyNumberFormat="1" applyFont="1" applyFill="1" applyBorder="1" applyAlignment="1" applyProtection="1">
      <alignment horizontal="right" vertical="center"/>
    </xf>
    <xf numFmtId="184" fontId="4" fillId="0" borderId="238" xfId="0" applyNumberFormat="1" applyFont="1" applyBorder="1" applyAlignment="1">
      <alignment horizontal="right" vertical="center"/>
    </xf>
    <xf numFmtId="179" fontId="4" fillId="0" borderId="239" xfId="0" applyNumberFormat="1" applyFont="1" applyBorder="1" applyAlignment="1">
      <alignment horizontal="right" vertical="center"/>
    </xf>
    <xf numFmtId="179" fontId="4" fillId="0" borderId="241" xfId="0" applyNumberFormat="1" applyFont="1" applyBorder="1" applyAlignment="1">
      <alignment horizontal="right" vertical="center"/>
    </xf>
    <xf numFmtId="184" fontId="4" fillId="0" borderId="242" xfId="0" applyNumberFormat="1" applyFont="1" applyBorder="1" applyAlignment="1">
      <alignment horizontal="right" vertical="center"/>
    </xf>
    <xf numFmtId="179" fontId="4" fillId="0" borderId="237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79" fontId="4" fillId="5" borderId="111" xfId="1" applyNumberFormat="1" applyFont="1" applyFill="1" applyBorder="1" applyAlignment="1" applyProtection="1">
      <alignment horizontal="right" vertical="center"/>
    </xf>
    <xf numFmtId="184" fontId="4" fillId="0" borderId="118" xfId="0" applyNumberFormat="1" applyFont="1" applyBorder="1" applyAlignment="1">
      <alignment horizontal="right" vertical="center"/>
    </xf>
    <xf numFmtId="179" fontId="4" fillId="0" borderId="119" xfId="0" applyNumberFormat="1" applyFont="1" applyBorder="1" applyAlignment="1">
      <alignment horizontal="right" vertical="center"/>
    </xf>
    <xf numFmtId="184" fontId="4" fillId="0" borderId="116" xfId="0" applyNumberFormat="1" applyFont="1" applyBorder="1" applyAlignment="1">
      <alignment horizontal="right" vertical="center"/>
    </xf>
    <xf numFmtId="179" fontId="4" fillId="0" borderId="111" xfId="1" applyNumberFormat="1" applyFont="1" applyFill="1" applyBorder="1" applyAlignment="1" applyProtection="1">
      <alignment horizontal="right" vertical="center"/>
    </xf>
    <xf numFmtId="0" fontId="4" fillId="0" borderId="116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179" fontId="4" fillId="0" borderId="120" xfId="0" applyNumberFormat="1" applyFont="1" applyBorder="1" applyAlignment="1">
      <alignment horizontal="right" vertical="center"/>
    </xf>
    <xf numFmtId="0" fontId="4" fillId="0" borderId="84" xfId="0" applyFont="1" applyBorder="1" applyAlignment="1">
      <alignment vertical="center"/>
    </xf>
    <xf numFmtId="179" fontId="4" fillId="0" borderId="138" xfId="1" applyNumberFormat="1" applyFont="1" applyFill="1" applyBorder="1" applyAlignment="1" applyProtection="1">
      <alignment horizontal="right" vertical="center"/>
    </xf>
    <xf numFmtId="179" fontId="4" fillId="5" borderId="133" xfId="1" applyNumberFormat="1" applyFont="1" applyFill="1" applyBorder="1" applyAlignment="1" applyProtection="1">
      <alignment horizontal="right" vertical="center"/>
    </xf>
    <xf numFmtId="0" fontId="4" fillId="0" borderId="115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7" fillId="0" borderId="129" xfId="0" applyFont="1" applyBorder="1" applyAlignment="1">
      <alignment vertical="center"/>
    </xf>
    <xf numFmtId="179" fontId="4" fillId="5" borderId="128" xfId="1" applyNumberFormat="1" applyFont="1" applyFill="1" applyBorder="1" applyAlignment="1" applyProtection="1">
      <alignment horizontal="right" vertical="center"/>
    </xf>
    <xf numFmtId="179" fontId="4" fillId="0" borderId="129" xfId="0" applyNumberFormat="1" applyFont="1" applyBorder="1" applyAlignment="1">
      <alignment horizontal="right" vertical="center"/>
    </xf>
    <xf numFmtId="179" fontId="4" fillId="0" borderId="130" xfId="0" applyNumberFormat="1" applyFont="1" applyBorder="1" applyAlignment="1">
      <alignment horizontal="right" vertical="center"/>
    </xf>
    <xf numFmtId="179" fontId="4" fillId="0" borderId="115" xfId="0" applyNumberFormat="1" applyFont="1" applyBorder="1" applyAlignment="1">
      <alignment horizontal="right" vertical="center"/>
    </xf>
    <xf numFmtId="179" fontId="4" fillId="0" borderId="131" xfId="0" applyNumberFormat="1" applyFont="1" applyBorder="1" applyAlignment="1">
      <alignment horizontal="right" vertical="center"/>
    </xf>
    <xf numFmtId="179" fontId="4" fillId="0" borderId="128" xfId="1" applyNumberFormat="1" applyFont="1" applyFill="1" applyBorder="1" applyAlignment="1" applyProtection="1">
      <alignment horizontal="right" vertical="center"/>
    </xf>
    <xf numFmtId="179" fontId="4" fillId="16" borderId="226" xfId="1" applyNumberFormat="1" applyFont="1" applyFill="1" applyBorder="1" applyAlignment="1" applyProtection="1">
      <alignment horizontal="right" vertical="center"/>
    </xf>
    <xf numFmtId="179" fontId="4" fillId="0" borderId="226" xfId="1" applyNumberFormat="1" applyFont="1" applyFill="1" applyBorder="1" applyAlignment="1" applyProtection="1">
      <alignment horizontal="right" vertical="center"/>
    </xf>
    <xf numFmtId="179" fontId="5" fillId="6" borderId="138" xfId="1" applyNumberFormat="1" applyFont="1" applyFill="1" applyBorder="1" applyAlignment="1" applyProtection="1">
      <alignment horizontal="right" vertical="center"/>
    </xf>
    <xf numFmtId="179" fontId="8" fillId="0" borderId="139" xfId="1" applyNumberFormat="1" applyFont="1" applyFill="1" applyBorder="1" applyAlignment="1" applyProtection="1">
      <alignment horizontal="right" vertical="center"/>
    </xf>
    <xf numFmtId="179" fontId="5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0" fillId="0" borderId="0" xfId="1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4" fillId="0" borderId="140" xfId="0" applyFont="1" applyBorder="1" applyAlignment="1">
      <alignment vertical="center"/>
    </xf>
    <xf numFmtId="0" fontId="4" fillId="0" borderId="141" xfId="0" applyFont="1" applyBorder="1" applyAlignment="1">
      <alignment vertical="center"/>
    </xf>
    <xf numFmtId="0" fontId="4" fillId="0" borderId="142" xfId="0" applyFont="1" applyBorder="1" applyAlignment="1">
      <alignment vertical="center"/>
    </xf>
    <xf numFmtId="0" fontId="4" fillId="0" borderId="143" xfId="0" applyFont="1" applyBorder="1" applyAlignment="1">
      <alignment vertical="center"/>
    </xf>
    <xf numFmtId="41" fontId="4" fillId="0" borderId="144" xfId="1" applyNumberFormat="1" applyFont="1" applyFill="1" applyBorder="1" applyAlignment="1" applyProtection="1">
      <alignment vertical="center"/>
    </xf>
    <xf numFmtId="41" fontId="4" fillId="0" borderId="145" xfId="1" applyNumberFormat="1" applyFont="1" applyFill="1" applyBorder="1" applyAlignment="1" applyProtection="1">
      <alignment vertical="center"/>
    </xf>
    <xf numFmtId="41" fontId="4" fillId="0" borderId="145" xfId="0" applyNumberFormat="1" applyFont="1" applyBorder="1" applyAlignment="1">
      <alignment vertical="center"/>
    </xf>
    <xf numFmtId="41" fontId="4" fillId="0" borderId="146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33" xfId="0" applyFont="1" applyBorder="1" applyAlignment="1">
      <alignment horizontal="center" vertical="center"/>
    </xf>
    <xf numFmtId="186" fontId="4" fillId="0" borderId="43" xfId="0" applyNumberFormat="1" applyFont="1" applyBorder="1" applyAlignment="1">
      <alignment vertical="center"/>
    </xf>
    <xf numFmtId="188" fontId="4" fillId="0" borderId="134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87" fontId="4" fillId="0" borderId="134" xfId="1" applyNumberFormat="1" applyFont="1" applyFill="1" applyBorder="1" applyAlignment="1" applyProtection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138" xfId="0" applyFont="1" applyBorder="1" applyAlignment="1">
      <alignment vertical="center"/>
    </xf>
    <xf numFmtId="41" fontId="10" fillId="4" borderId="147" xfId="0" applyNumberFormat="1" applyFont="1" applyFill="1" applyBorder="1" applyAlignment="1">
      <alignment horizontal="center" vertical="center"/>
    </xf>
    <xf numFmtId="41" fontId="10" fillId="4" borderId="42" xfId="0" applyNumberFormat="1" applyFont="1" applyFill="1" applyBorder="1" applyAlignment="1">
      <alignment horizontal="center" vertical="center"/>
    </xf>
    <xf numFmtId="0" fontId="4" fillId="0" borderId="150" xfId="0" applyFont="1" applyBorder="1" applyAlignment="1">
      <alignment vertical="center"/>
    </xf>
    <xf numFmtId="0" fontId="4" fillId="0" borderId="151" xfId="0" applyFont="1" applyBorder="1" applyAlignment="1">
      <alignment vertical="center"/>
    </xf>
    <xf numFmtId="179" fontId="4" fillId="0" borderId="128" xfId="0" applyNumberFormat="1" applyFont="1" applyBorder="1" applyAlignment="1">
      <alignment vertical="center"/>
    </xf>
    <xf numFmtId="176" fontId="4" fillId="0" borderId="177" xfId="1" applyNumberFormat="1" applyFont="1" applyBorder="1" applyAlignment="1" applyProtection="1">
      <alignment vertical="center"/>
    </xf>
    <xf numFmtId="179" fontId="4" fillId="0" borderId="178" xfId="0" applyNumberFormat="1" applyFont="1" applyBorder="1" applyAlignment="1">
      <alignment vertical="center"/>
    </xf>
    <xf numFmtId="176" fontId="4" fillId="0" borderId="179" xfId="1" applyNumberFormat="1" applyFont="1" applyBorder="1" applyAlignment="1" applyProtection="1">
      <alignment vertical="center"/>
    </xf>
    <xf numFmtId="184" fontId="4" fillId="0" borderId="180" xfId="0" applyNumberFormat="1" applyFont="1" applyBorder="1" applyAlignment="1">
      <alignment vertical="center"/>
    </xf>
    <xf numFmtId="176" fontId="4" fillId="0" borderId="179" xfId="0" applyNumberFormat="1" applyFont="1" applyBorder="1" applyAlignment="1">
      <alignment vertical="center"/>
    </xf>
    <xf numFmtId="176" fontId="4" fillId="0" borderId="181" xfId="0" applyNumberFormat="1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7" fillId="0" borderId="113" xfId="0" applyFont="1" applyBorder="1" applyAlignment="1">
      <alignment vertical="center"/>
    </xf>
    <xf numFmtId="176" fontId="4" fillId="0" borderId="107" xfId="1" applyNumberFormat="1" applyFont="1" applyBorder="1" applyAlignment="1" applyProtection="1">
      <alignment vertical="center"/>
    </xf>
    <xf numFmtId="179" fontId="4" fillId="0" borderId="148" xfId="0" applyNumberFormat="1" applyFont="1" applyBorder="1" applyAlignment="1">
      <alignment vertical="center"/>
    </xf>
    <xf numFmtId="176" fontId="4" fillId="0" borderId="108" xfId="1" applyNumberFormat="1" applyFont="1" applyBorder="1" applyAlignment="1" applyProtection="1">
      <alignment vertical="center"/>
    </xf>
    <xf numFmtId="184" fontId="4" fillId="0" borderId="149" xfId="0" applyNumberFormat="1" applyFont="1" applyBorder="1" applyAlignment="1">
      <alignment vertical="center"/>
    </xf>
    <xf numFmtId="176" fontId="4" fillId="0" borderId="108" xfId="0" applyNumberFormat="1" applyFont="1" applyBorder="1" applyAlignment="1">
      <alignment vertical="center"/>
    </xf>
    <xf numFmtId="176" fontId="4" fillId="0" borderId="109" xfId="0" applyNumberFormat="1" applyFont="1" applyBorder="1" applyAlignment="1">
      <alignment vertical="center"/>
    </xf>
    <xf numFmtId="176" fontId="4" fillId="0" borderId="128" xfId="0" applyNumberFormat="1" applyFont="1" applyBorder="1" applyAlignment="1">
      <alignment vertical="center"/>
    </xf>
    <xf numFmtId="184" fontId="4" fillId="0" borderId="152" xfId="0" applyNumberFormat="1" applyFont="1" applyBorder="1" applyAlignment="1">
      <alignment vertical="center"/>
    </xf>
    <xf numFmtId="176" fontId="4" fillId="0" borderId="130" xfId="0" applyNumberFormat="1" applyFont="1" applyBorder="1" applyAlignment="1">
      <alignment vertical="center"/>
    </xf>
    <xf numFmtId="184" fontId="4" fillId="0" borderId="153" xfId="0" applyNumberFormat="1" applyFont="1" applyBorder="1" applyAlignment="1">
      <alignment vertical="center"/>
    </xf>
    <xf numFmtId="176" fontId="4" fillId="0" borderId="131" xfId="0" applyNumberFormat="1" applyFont="1" applyBorder="1" applyAlignment="1">
      <alignment vertical="center"/>
    </xf>
    <xf numFmtId="176" fontId="4" fillId="0" borderId="100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176" fontId="4" fillId="0" borderId="10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41" fontId="4" fillId="0" borderId="19" xfId="0" applyNumberFormat="1" applyFont="1" applyBorder="1" applyAlignment="1">
      <alignment vertical="center"/>
    </xf>
    <xf numFmtId="179" fontId="0" fillId="0" borderId="209" xfId="0" applyNumberFormat="1" applyBorder="1" applyAlignment="1">
      <alignment horizontal="right" vertical="center"/>
    </xf>
    <xf numFmtId="3" fontId="25" fillId="9" borderId="143" xfId="0" applyNumberFormat="1" applyFont="1" applyFill="1" applyBorder="1" applyAlignment="1">
      <alignment horizontal="center" vertical="center" shrinkToFit="1"/>
    </xf>
    <xf numFmtId="0" fontId="25" fillId="0" borderId="9" xfId="0" applyFont="1" applyBorder="1" applyAlignment="1">
      <alignment vertical="center"/>
    </xf>
    <xf numFmtId="0" fontId="25" fillId="8" borderId="82" xfId="0" applyFont="1" applyFill="1" applyBorder="1" applyAlignment="1">
      <alignment vertical="center"/>
    </xf>
    <xf numFmtId="0" fontId="25" fillId="8" borderId="84" xfId="0" applyFont="1" applyFill="1" applyBorder="1" applyAlignment="1">
      <alignment vertical="center"/>
    </xf>
    <xf numFmtId="179" fontId="25" fillId="8" borderId="48" xfId="0" applyNumberFormat="1" applyFont="1" applyFill="1" applyBorder="1" applyAlignment="1">
      <alignment vertical="center"/>
    </xf>
    <xf numFmtId="179" fontId="0" fillId="0" borderId="48" xfId="1" applyNumberFormat="1" applyFont="1" applyBorder="1" applyAlignment="1" applyProtection="1">
      <alignment vertical="center"/>
    </xf>
    <xf numFmtId="0" fontId="25" fillId="0" borderId="82" xfId="0" applyFont="1" applyBorder="1" applyAlignment="1">
      <alignment vertical="center"/>
    </xf>
    <xf numFmtId="0" fontId="25" fillId="0" borderId="85" xfId="1" applyNumberFormat="1" applyFont="1" applyBorder="1" applyAlignment="1" applyProtection="1">
      <alignment horizontal="right" vertical="center"/>
    </xf>
    <xf numFmtId="3" fontId="25" fillId="9" borderId="133" xfId="0" applyNumberFormat="1" applyFont="1" applyFill="1" applyBorder="1" applyAlignment="1">
      <alignment horizontal="right" vertical="center" shrinkToFit="1"/>
    </xf>
    <xf numFmtId="0" fontId="4" fillId="0" borderId="152" xfId="0" applyFont="1" applyBorder="1" applyAlignment="1">
      <alignment vertical="center" shrinkToFit="1"/>
    </xf>
    <xf numFmtId="179" fontId="4" fillId="0" borderId="130" xfId="0" applyNumberFormat="1" applyFont="1" applyBorder="1" applyAlignment="1">
      <alignment vertical="center" shrinkToFit="1"/>
    </xf>
    <xf numFmtId="0" fontId="4" fillId="0" borderId="153" xfId="0" applyFont="1" applyBorder="1" applyAlignment="1">
      <alignment vertical="center" shrinkToFit="1"/>
    </xf>
    <xf numFmtId="179" fontId="4" fillId="0" borderId="131" xfId="0" applyNumberFormat="1" applyFont="1" applyBorder="1" applyAlignment="1">
      <alignment vertical="center" shrinkToFit="1"/>
    </xf>
    <xf numFmtId="184" fontId="4" fillId="0" borderId="0" xfId="0" applyNumberFormat="1" applyFont="1" applyAlignment="1">
      <alignment horizontal="right" vertical="center"/>
    </xf>
    <xf numFmtId="179" fontId="4" fillId="0" borderId="134" xfId="0" applyNumberFormat="1" applyFont="1" applyBorder="1" applyAlignment="1">
      <alignment horizontal="right" vertical="center"/>
    </xf>
    <xf numFmtId="184" fontId="4" fillId="0" borderId="47" xfId="0" applyNumberFormat="1" applyFont="1" applyBorder="1" applyAlignment="1">
      <alignment horizontal="right" vertical="center"/>
    </xf>
    <xf numFmtId="179" fontId="4" fillId="0" borderId="48" xfId="0" applyNumberFormat="1" applyFont="1" applyBorder="1" applyAlignment="1">
      <alignment horizontal="right" vertical="center"/>
    </xf>
    <xf numFmtId="179" fontId="4" fillId="16" borderId="69" xfId="1" applyNumberFormat="1" applyFont="1" applyFill="1" applyBorder="1" applyAlignment="1" applyProtection="1">
      <alignment horizontal="right" vertical="center"/>
    </xf>
    <xf numFmtId="179" fontId="4" fillId="16" borderId="163" xfId="1" applyNumberFormat="1" applyFont="1" applyFill="1" applyBorder="1" applyAlignment="1" applyProtection="1">
      <alignment horizontal="right" vertical="center"/>
    </xf>
    <xf numFmtId="179" fontId="4" fillId="16" borderId="176" xfId="1" applyNumberFormat="1" applyFont="1" applyFill="1" applyBorder="1" applyAlignment="1" applyProtection="1">
      <alignment horizontal="right" vertical="center"/>
    </xf>
    <xf numFmtId="179" fontId="4" fillId="16" borderId="45" xfId="1" applyNumberFormat="1" applyFont="1" applyFill="1" applyBorder="1" applyAlignment="1" applyProtection="1">
      <alignment horizontal="right" vertical="center"/>
    </xf>
    <xf numFmtId="179" fontId="4" fillId="16" borderId="45" xfId="0" applyNumberFormat="1" applyFont="1" applyFill="1" applyBorder="1" applyAlignment="1">
      <alignment horizontal="right" vertical="center"/>
    </xf>
    <xf numFmtId="179" fontId="4" fillId="16" borderId="46" xfId="0" applyNumberFormat="1" applyFont="1" applyFill="1" applyBorder="1" applyAlignment="1">
      <alignment horizontal="right" vertical="center"/>
    </xf>
    <xf numFmtId="179" fontId="4" fillId="0" borderId="69" xfId="1" applyNumberFormat="1" applyFont="1" applyFill="1" applyBorder="1" applyAlignment="1" applyProtection="1">
      <alignment horizontal="right" vertical="center"/>
    </xf>
    <xf numFmtId="0" fontId="4" fillId="0" borderId="228" xfId="0" applyFont="1" applyBorder="1" applyAlignment="1">
      <alignment vertical="center"/>
    </xf>
    <xf numFmtId="0" fontId="7" fillId="0" borderId="141" xfId="0" applyFont="1" applyBorder="1" applyAlignment="1">
      <alignment vertical="center"/>
    </xf>
    <xf numFmtId="179" fontId="4" fillId="5" borderId="143" xfId="1" applyNumberFormat="1" applyFont="1" applyFill="1" applyBorder="1" applyAlignment="1" applyProtection="1">
      <alignment horizontal="right" vertical="center"/>
    </xf>
    <xf numFmtId="179" fontId="4" fillId="0" borderId="264" xfId="0" applyNumberFormat="1" applyFont="1" applyBorder="1" applyAlignment="1">
      <alignment horizontal="right" vertical="center"/>
    </xf>
    <xf numFmtId="179" fontId="4" fillId="16" borderId="135" xfId="0" applyNumberFormat="1" applyFont="1" applyFill="1" applyBorder="1" applyAlignment="1">
      <alignment horizontal="right" vertical="center"/>
    </xf>
    <xf numFmtId="179" fontId="4" fillId="16" borderId="265" xfId="0" applyNumberFormat="1" applyFont="1" applyFill="1" applyBorder="1" applyAlignment="1">
      <alignment horizontal="right" vertical="center"/>
    </xf>
    <xf numFmtId="179" fontId="4" fillId="16" borderId="136" xfId="0" applyNumberFormat="1" applyFont="1" applyFill="1" applyBorder="1" applyAlignment="1">
      <alignment horizontal="right" vertical="center"/>
    </xf>
    <xf numFmtId="179" fontId="4" fillId="16" borderId="137" xfId="0" applyNumberFormat="1" applyFont="1" applyFill="1" applyBorder="1" applyAlignment="1">
      <alignment horizontal="right" vertical="center"/>
    </xf>
    <xf numFmtId="0" fontId="24" fillId="14" borderId="266" xfId="0" applyFont="1" applyFill="1" applyBorder="1" applyAlignment="1">
      <alignment horizontal="center" vertical="center"/>
    </xf>
    <xf numFmtId="0" fontId="24" fillId="14" borderId="210" xfId="0" applyFont="1" applyFill="1" applyBorder="1" applyAlignment="1">
      <alignment horizontal="center" vertical="center"/>
    </xf>
    <xf numFmtId="0" fontId="24" fillId="14" borderId="20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91" fontId="4" fillId="0" borderId="32" xfId="0" applyNumberFormat="1" applyFont="1" applyBorder="1" applyAlignment="1">
      <alignment vertical="center"/>
    </xf>
    <xf numFmtId="192" fontId="4" fillId="0" borderId="32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192" fontId="4" fillId="0" borderId="38" xfId="0" applyNumberFormat="1" applyFont="1" applyBorder="1" applyAlignment="1">
      <alignment vertical="center"/>
    </xf>
    <xf numFmtId="0" fontId="0" fillId="0" borderId="163" xfId="0" applyBorder="1" applyAlignment="1">
      <alignment horizontal="left" vertical="center"/>
    </xf>
    <xf numFmtId="179" fontId="0" fillId="0" borderId="114" xfId="0" applyNumberFormat="1" applyBorder="1" applyAlignment="1">
      <alignment vertical="center"/>
    </xf>
    <xf numFmtId="179" fontId="0" fillId="0" borderId="32" xfId="1" applyNumberFormat="1" applyFont="1" applyBorder="1" applyAlignment="1" applyProtection="1">
      <alignment horizontal="right" vertical="center" indent="1"/>
    </xf>
    <xf numFmtId="179" fontId="0" fillId="0" borderId="33" xfId="1" applyNumberFormat="1" applyFont="1" applyBorder="1" applyAlignment="1" applyProtection="1">
      <alignment horizontal="center" vertical="center"/>
    </xf>
    <xf numFmtId="193" fontId="25" fillId="8" borderId="85" xfId="1" applyNumberFormat="1" applyFont="1" applyFill="1" applyBorder="1" applyAlignment="1" applyProtection="1">
      <alignment horizontal="right" vertical="center"/>
    </xf>
    <xf numFmtId="179" fontId="25" fillId="7" borderId="48" xfId="0" applyNumberFormat="1" applyFont="1" applyFill="1" applyBorder="1" applyAlignment="1">
      <alignment vertical="center"/>
    </xf>
    <xf numFmtId="193" fontId="25" fillId="7" borderId="85" xfId="1" applyNumberFormat="1" applyFont="1" applyFill="1" applyBorder="1" applyAlignment="1" applyProtection="1">
      <alignment horizontal="right" vertical="center"/>
    </xf>
    <xf numFmtId="0" fontId="25" fillId="7" borderId="82" xfId="0" applyFont="1" applyFill="1" applyBorder="1" applyAlignment="1">
      <alignment vertical="center"/>
    </xf>
    <xf numFmtId="0" fontId="25" fillId="7" borderId="84" xfId="0" applyFont="1" applyFill="1" applyBorder="1" applyAlignment="1">
      <alignment vertical="center"/>
    </xf>
    <xf numFmtId="0" fontId="0" fillId="0" borderId="133" xfId="0" applyBorder="1" applyAlignment="1">
      <alignment vertical="center"/>
    </xf>
    <xf numFmtId="38" fontId="25" fillId="0" borderId="0" xfId="0" applyNumberFormat="1" applyFont="1" applyAlignment="1">
      <alignment horizontal="centerContinuous" vertical="center"/>
    </xf>
    <xf numFmtId="0" fontId="0" fillId="0" borderId="140" xfId="0" applyBorder="1" applyAlignment="1">
      <alignment vertical="center"/>
    </xf>
    <xf numFmtId="0" fontId="0" fillId="0" borderId="142" xfId="0" applyBorder="1" applyAlignment="1">
      <alignment vertical="center"/>
    </xf>
    <xf numFmtId="179" fontId="4" fillId="5" borderId="133" xfId="0" applyNumberFormat="1" applyFont="1" applyFill="1" applyBorder="1" applyAlignment="1">
      <alignment horizontal="right" vertical="center"/>
    </xf>
    <xf numFmtId="179" fontId="4" fillId="0" borderId="133" xfId="0" applyNumberFormat="1" applyFont="1" applyBorder="1" applyAlignment="1">
      <alignment horizontal="right" vertical="center"/>
    </xf>
    <xf numFmtId="0" fontId="0" fillId="12" borderId="114" xfId="0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184" fontId="4" fillId="0" borderId="110" xfId="1" applyNumberFormat="1" applyFont="1" applyBorder="1" applyAlignment="1" applyProtection="1">
      <alignment horizontal="right" vertical="center"/>
    </xf>
    <xf numFmtId="179" fontId="4" fillId="0" borderId="267" xfId="1" applyNumberFormat="1" applyFont="1" applyBorder="1" applyAlignment="1" applyProtection="1">
      <alignment horizontal="right" vertical="center"/>
    </xf>
    <xf numFmtId="184" fontId="4" fillId="0" borderId="116" xfId="1" applyNumberFormat="1" applyFont="1" applyBorder="1" applyAlignment="1" applyProtection="1">
      <alignment horizontal="right" vertical="center"/>
    </xf>
    <xf numFmtId="179" fontId="4" fillId="0" borderId="268" xfId="0" applyNumberFormat="1" applyFont="1" applyBorder="1" applyAlignment="1">
      <alignment horizontal="right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12" fontId="31" fillId="0" borderId="16" xfId="0" applyNumberFormat="1" applyFont="1" applyBorder="1" applyAlignment="1">
      <alignment vertical="center"/>
    </xf>
    <xf numFmtId="181" fontId="4" fillId="10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4" fillId="10" borderId="269" xfId="0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 indent="1"/>
    </xf>
    <xf numFmtId="0" fontId="24" fillId="11" borderId="157" xfId="0" applyFont="1" applyFill="1" applyBorder="1" applyAlignment="1">
      <alignment vertical="center"/>
    </xf>
    <xf numFmtId="38" fontId="25" fillId="0" borderId="0" xfId="0" applyNumberFormat="1" applyFont="1" applyAlignment="1">
      <alignment vertical="center"/>
    </xf>
    <xf numFmtId="176" fontId="25" fillId="0" borderId="0" xfId="0" applyNumberFormat="1" applyFont="1" applyAlignment="1">
      <alignment vertical="center"/>
    </xf>
    <xf numFmtId="12" fontId="31" fillId="0" borderId="10" xfId="0" applyNumberFormat="1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7" xfId="0" applyFont="1" applyBorder="1" applyAlignment="1">
      <alignment vertical="center"/>
    </xf>
    <xf numFmtId="181" fontId="32" fillId="0" borderId="11" xfId="0" applyNumberFormat="1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181" fontId="32" fillId="0" borderId="15" xfId="0" applyNumberFormat="1" applyFont="1" applyBorder="1" applyAlignment="1">
      <alignment vertical="center" wrapText="1"/>
    </xf>
    <xf numFmtId="0" fontId="32" fillId="0" borderId="15" xfId="0" applyFont="1" applyBorder="1" applyAlignment="1">
      <alignment wrapText="1"/>
    </xf>
    <xf numFmtId="0" fontId="32" fillId="0" borderId="20" xfId="0" applyFont="1" applyBorder="1" applyAlignment="1">
      <alignment wrapText="1"/>
    </xf>
    <xf numFmtId="38" fontId="32" fillId="0" borderId="9" xfId="1" applyFont="1" applyFill="1" applyBorder="1" applyAlignment="1" applyProtection="1">
      <alignment vertical="center"/>
    </xf>
    <xf numFmtId="38" fontId="32" fillId="0" borderId="14" xfId="1" applyFont="1" applyFill="1" applyBorder="1" applyAlignment="1" applyProtection="1">
      <alignment vertical="center"/>
    </xf>
    <xf numFmtId="38" fontId="32" fillId="0" borderId="17" xfId="1" applyFont="1" applyFill="1" applyBorder="1" applyAlignment="1" applyProtection="1">
      <alignment vertical="center"/>
    </xf>
    <xf numFmtId="12" fontId="32" fillId="0" borderId="156" xfId="0" applyNumberFormat="1" applyFont="1" applyBorder="1" applyAlignment="1">
      <alignment vertical="center"/>
    </xf>
    <xf numFmtId="12" fontId="32" fillId="0" borderId="28" xfId="0" applyNumberFormat="1" applyFont="1" applyBorder="1" applyAlignment="1">
      <alignment vertical="center"/>
    </xf>
    <xf numFmtId="0" fontId="32" fillId="10" borderId="156" xfId="0" applyFont="1" applyFill="1" applyBorder="1" applyAlignment="1">
      <alignment horizontal="center" vertical="center"/>
    </xf>
    <xf numFmtId="0" fontId="32" fillId="10" borderId="158" xfId="0" applyFont="1" applyFill="1" applyBorder="1" applyAlignment="1">
      <alignment horizontal="center" vertical="center"/>
    </xf>
    <xf numFmtId="0" fontId="32" fillId="10" borderId="28" xfId="0" applyFont="1" applyFill="1" applyBorder="1" applyAlignment="1">
      <alignment horizontal="center" vertical="center"/>
    </xf>
    <xf numFmtId="41" fontId="32" fillId="0" borderId="162" xfId="0" applyNumberFormat="1" applyFont="1" applyBorder="1" applyAlignment="1">
      <alignment vertical="center"/>
    </xf>
    <xf numFmtId="41" fontId="32" fillId="0" borderId="19" xfId="0" applyNumberFormat="1" applyFont="1" applyBorder="1" applyAlignment="1">
      <alignment vertical="center"/>
    </xf>
    <xf numFmtId="41" fontId="32" fillId="0" borderId="46" xfId="0" applyNumberFormat="1" applyFont="1" applyBorder="1" applyAlignment="1">
      <alignment vertical="center"/>
    </xf>
    <xf numFmtId="41" fontId="32" fillId="0" borderId="51" xfId="0" applyNumberFormat="1" applyFont="1" applyBorder="1" applyAlignment="1">
      <alignment vertical="center"/>
    </xf>
    <xf numFmtId="12" fontId="32" fillId="0" borderId="34" xfId="0" applyNumberFormat="1" applyFont="1" applyBorder="1" applyAlignment="1">
      <alignment vertical="center"/>
    </xf>
    <xf numFmtId="12" fontId="31" fillId="0" borderId="18" xfId="0" applyNumberFormat="1" applyFont="1" applyBorder="1" applyAlignment="1">
      <alignment vertical="center"/>
    </xf>
    <xf numFmtId="41" fontId="32" fillId="0" borderId="9" xfId="0" applyNumberFormat="1" applyFont="1" applyBorder="1" applyAlignment="1">
      <alignment vertical="center"/>
    </xf>
    <xf numFmtId="41" fontId="32" fillId="0" borderId="14" xfId="0" applyNumberFormat="1" applyFont="1" applyBorder="1" applyAlignment="1">
      <alignment vertical="center"/>
    </xf>
    <xf numFmtId="41" fontId="32" fillId="0" borderId="17" xfId="0" applyNumberFormat="1" applyFont="1" applyBorder="1" applyAlignment="1">
      <alignment vertical="center"/>
    </xf>
    <xf numFmtId="0" fontId="7" fillId="0" borderId="0" xfId="0" applyFont="1" applyAlignment="1">
      <alignment horizontal="left" vertical="top" indent="2"/>
    </xf>
    <xf numFmtId="0" fontId="31" fillId="0" borderId="6" xfId="0" applyFont="1" applyBorder="1" applyAlignment="1">
      <alignment vertical="center"/>
    </xf>
    <xf numFmtId="38" fontId="32" fillId="6" borderId="14" xfId="1" applyFont="1" applyFill="1" applyBorder="1" applyAlignment="1" applyProtection="1">
      <alignment vertical="center"/>
    </xf>
    <xf numFmtId="41" fontId="32" fillId="0" borderId="68" xfId="0" applyNumberFormat="1" applyFont="1" applyBorder="1" applyAlignment="1">
      <alignment vertical="center"/>
    </xf>
    <xf numFmtId="0" fontId="9" fillId="0" borderId="164" xfId="0" applyFont="1" applyBorder="1" applyAlignment="1">
      <alignment horizontal="distributed" vertical="center" justifyLastLine="1"/>
    </xf>
    <xf numFmtId="0" fontId="0" fillId="0" borderId="165" xfId="0" applyBorder="1" applyAlignment="1">
      <alignment horizontal="distributed" vertical="center" justifyLastLine="1"/>
    </xf>
    <xf numFmtId="0" fontId="0" fillId="0" borderId="169" xfId="0" applyBorder="1" applyAlignment="1">
      <alignment horizontal="distributed" vertical="center" justifyLastLine="1"/>
    </xf>
    <xf numFmtId="0" fontId="5" fillId="2" borderId="0" xfId="0" applyFont="1" applyFill="1" applyAlignment="1" applyProtection="1">
      <alignment vertical="center"/>
      <protection locked="0"/>
    </xf>
    <xf numFmtId="0" fontId="16" fillId="4" borderId="184" xfId="0" applyFont="1" applyFill="1" applyBorder="1" applyAlignment="1">
      <alignment horizontal="center" vertical="center"/>
    </xf>
    <xf numFmtId="0" fontId="16" fillId="4" borderId="185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84" xfId="0" applyFont="1" applyBorder="1" applyAlignment="1">
      <alignment vertical="center"/>
    </xf>
    <xf numFmtId="0" fontId="0" fillId="0" borderId="166" xfId="0" applyBorder="1" applyAlignment="1">
      <alignment horizontal="center" vertical="center" textRotation="255" wrapText="1"/>
    </xf>
    <xf numFmtId="0" fontId="0" fillId="0" borderId="182" xfId="0" applyBorder="1" applyAlignment="1">
      <alignment horizontal="center" vertical="center" textRotation="255" wrapText="1"/>
    </xf>
    <xf numFmtId="0" fontId="16" fillId="4" borderId="164" xfId="0" applyFont="1" applyFill="1" applyBorder="1" applyAlignment="1">
      <alignment horizontal="distributed" vertical="center" justifyLastLine="1"/>
    </xf>
    <xf numFmtId="0" fontId="16" fillId="4" borderId="165" xfId="0" applyFont="1" applyFill="1" applyBorder="1" applyAlignment="1">
      <alignment horizontal="distributed" vertical="center" justifyLastLine="1"/>
    </xf>
    <xf numFmtId="0" fontId="16" fillId="4" borderId="169" xfId="0" applyFont="1" applyFill="1" applyBorder="1" applyAlignment="1">
      <alignment horizontal="distributed" vertical="center" justifyLastLine="1"/>
    </xf>
    <xf numFmtId="0" fontId="0" fillId="0" borderId="166" xfId="0" applyBorder="1" applyAlignment="1">
      <alignment vertical="center" textRotation="255"/>
    </xf>
    <xf numFmtId="0" fontId="0" fillId="0" borderId="182" xfId="0" applyBorder="1" applyAlignment="1">
      <alignment vertical="center" textRotation="255"/>
    </xf>
    <xf numFmtId="0" fontId="0" fillId="0" borderId="0" xfId="0" applyAlignment="1">
      <alignment vertical="center"/>
    </xf>
    <xf numFmtId="183" fontId="4" fillId="0" borderId="0" xfId="0" applyNumberFormat="1" applyFont="1" applyAlignment="1">
      <alignment horizontal="left" vertical="center"/>
    </xf>
    <xf numFmtId="179" fontId="4" fillId="2" borderId="0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7" fillId="0" borderId="141" xfId="0" applyFont="1" applyBorder="1" applyAlignment="1">
      <alignment horizontal="right" vertical="center"/>
    </xf>
    <xf numFmtId="0" fontId="16" fillId="4" borderId="186" xfId="0" applyFont="1" applyFill="1" applyBorder="1" applyAlignment="1">
      <alignment horizontal="center" vertical="center"/>
    </xf>
    <xf numFmtId="0" fontId="16" fillId="4" borderId="187" xfId="0" applyFont="1" applyFill="1" applyBorder="1" applyAlignment="1">
      <alignment horizontal="center" vertical="center"/>
    </xf>
    <xf numFmtId="179" fontId="9" fillId="0" borderId="164" xfId="0" applyNumberFormat="1" applyFont="1" applyBorder="1" applyAlignment="1">
      <alignment vertical="center"/>
    </xf>
    <xf numFmtId="179" fontId="9" fillId="0" borderId="169" xfId="0" applyNumberFormat="1" applyFont="1" applyBorder="1" applyAlignment="1">
      <alignment vertical="center"/>
    </xf>
    <xf numFmtId="0" fontId="0" fillId="0" borderId="188" xfId="0" applyBorder="1" applyAlignment="1">
      <alignment vertical="center" textRotation="255"/>
    </xf>
    <xf numFmtId="0" fontId="0" fillId="0" borderId="182" xfId="0" applyBorder="1" applyAlignment="1">
      <alignment vertical="center"/>
    </xf>
    <xf numFmtId="179" fontId="0" fillId="0" borderId="258" xfId="1" applyNumberFormat="1" applyFont="1" applyFill="1" applyBorder="1" applyAlignment="1" applyProtection="1">
      <alignment vertical="center"/>
    </xf>
    <xf numFmtId="179" fontId="0" fillId="0" borderId="256" xfId="1" applyNumberFormat="1" applyFont="1" applyFill="1" applyBorder="1" applyAlignment="1" applyProtection="1">
      <alignment vertical="center"/>
    </xf>
    <xf numFmtId="179" fontId="0" fillId="0" borderId="49" xfId="1" applyNumberFormat="1" applyFont="1" applyFill="1" applyBorder="1" applyAlignment="1" applyProtection="1">
      <alignment vertical="center"/>
    </xf>
    <xf numFmtId="179" fontId="0" fillId="0" borderId="33" xfId="1" applyNumberFormat="1" applyFont="1" applyFill="1" applyBorder="1" applyAlignment="1" applyProtection="1">
      <alignment vertical="center"/>
    </xf>
    <xf numFmtId="179" fontId="0" fillId="0" borderId="157" xfId="1" applyNumberFormat="1" applyFont="1" applyFill="1" applyBorder="1" applyAlignment="1" applyProtection="1">
      <alignment vertical="center"/>
    </xf>
    <xf numFmtId="179" fontId="0" fillId="0" borderId="39" xfId="1" applyNumberFormat="1" applyFont="1" applyFill="1" applyBorder="1" applyAlignment="1" applyProtection="1">
      <alignment vertical="center"/>
    </xf>
    <xf numFmtId="179" fontId="0" fillId="0" borderId="44" xfId="1" applyNumberFormat="1" applyFont="1" applyFill="1" applyBorder="1" applyAlignment="1" applyProtection="1">
      <alignment vertical="center"/>
    </xf>
    <xf numFmtId="179" fontId="0" fillId="0" borderId="176" xfId="1" applyNumberFormat="1" applyFont="1" applyFill="1" applyBorder="1" applyAlignment="1" applyProtection="1">
      <alignment vertical="center"/>
    </xf>
    <xf numFmtId="179" fontId="0" fillId="0" borderId="253" xfId="1" applyNumberFormat="1" applyFont="1" applyFill="1" applyBorder="1" applyAlignment="1" applyProtection="1">
      <alignment vertical="center"/>
    </xf>
    <xf numFmtId="179" fontId="0" fillId="0" borderId="251" xfId="1" applyNumberFormat="1" applyFont="1" applyFill="1" applyBorder="1" applyAlignment="1" applyProtection="1">
      <alignment vertical="center"/>
    </xf>
    <xf numFmtId="0" fontId="16" fillId="4" borderId="160" xfId="0" applyFont="1" applyFill="1" applyBorder="1" applyAlignment="1">
      <alignment horizontal="center" vertical="center"/>
    </xf>
    <xf numFmtId="0" fontId="16" fillId="4" borderId="167" xfId="0" applyFont="1" applyFill="1" applyBorder="1" applyAlignment="1">
      <alignment horizontal="center" vertical="center"/>
    </xf>
    <xf numFmtId="0" fontId="15" fillId="4" borderId="183" xfId="0" applyFont="1" applyFill="1" applyBorder="1" applyAlignment="1">
      <alignment horizontal="center" vertical="center"/>
    </xf>
    <xf numFmtId="0" fontId="16" fillId="4" borderId="174" xfId="0" applyFont="1" applyFill="1" applyBorder="1" applyAlignment="1">
      <alignment horizontal="center" vertical="center"/>
    </xf>
    <xf numFmtId="0" fontId="16" fillId="4" borderId="140" xfId="0" applyFont="1" applyFill="1" applyBorder="1" applyAlignment="1">
      <alignment horizontal="center" vertical="center"/>
    </xf>
    <xf numFmtId="0" fontId="16" fillId="4" borderId="141" xfId="0" applyFont="1" applyFill="1" applyBorder="1" applyAlignment="1">
      <alignment horizontal="center" vertical="center"/>
    </xf>
    <xf numFmtId="0" fontId="16" fillId="4" borderId="159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0" fontId="16" fillId="4" borderId="173" xfId="0" applyFont="1" applyFill="1" applyBorder="1" applyAlignment="1">
      <alignment horizontal="center" vertical="center"/>
    </xf>
    <xf numFmtId="0" fontId="0" fillId="0" borderId="176" xfId="0" applyBorder="1" applyAlignment="1">
      <alignment horizontal="center" vertical="center" textRotation="255"/>
    </xf>
    <xf numFmtId="0" fontId="0" fillId="0" borderId="134" xfId="0" applyBorder="1" applyAlignment="1">
      <alignment horizontal="center" vertical="center" textRotation="255"/>
    </xf>
    <xf numFmtId="0" fontId="0" fillId="0" borderId="126" xfId="0" applyBorder="1" applyAlignment="1">
      <alignment horizontal="center" vertical="center" textRotation="255"/>
    </xf>
    <xf numFmtId="179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179" fontId="0" fillId="0" borderId="161" xfId="1" applyNumberFormat="1" applyFont="1" applyFill="1" applyBorder="1" applyAlignment="1" applyProtection="1">
      <alignment horizontal="right" vertical="center"/>
    </xf>
    <xf numFmtId="179" fontId="0" fillId="0" borderId="197" xfId="1" applyNumberFormat="1" applyFont="1" applyFill="1" applyBorder="1" applyAlignment="1" applyProtection="1">
      <alignment horizontal="right" vertical="center"/>
    </xf>
    <xf numFmtId="179" fontId="0" fillId="0" borderId="4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5" borderId="259" xfId="1" applyNumberFormat="1" applyFont="1" applyFill="1" applyBorder="1" applyAlignment="1" applyProtection="1">
      <alignment vertical="center"/>
    </xf>
    <xf numFmtId="179" fontId="0" fillId="5" borderId="257" xfId="1" applyNumberFormat="1" applyFont="1" applyFill="1" applyBorder="1" applyAlignment="1" applyProtection="1">
      <alignment vertical="center"/>
    </xf>
    <xf numFmtId="179" fontId="0" fillId="0" borderId="196" xfId="1" applyNumberFormat="1" applyFont="1" applyFill="1" applyBorder="1" applyAlignment="1" applyProtection="1">
      <alignment horizontal="right" vertical="center"/>
    </xf>
    <xf numFmtId="179" fontId="0" fillId="0" borderId="162" xfId="1" applyNumberFormat="1" applyFont="1" applyFill="1" applyBorder="1" applyAlignment="1" applyProtection="1">
      <alignment horizontal="right" vertical="center"/>
    </xf>
    <xf numFmtId="179" fontId="0" fillId="0" borderId="19" xfId="0" applyNumberFormat="1" applyBorder="1" applyAlignment="1">
      <alignment vertical="center"/>
    </xf>
    <xf numFmtId="179" fontId="0" fillId="5" borderId="31" xfId="1" applyNumberFormat="1" applyFont="1" applyFill="1" applyBorder="1" applyAlignment="1" applyProtection="1">
      <alignment vertical="center"/>
    </xf>
    <xf numFmtId="179" fontId="0" fillId="5" borderId="19" xfId="1" applyNumberFormat="1" applyFont="1" applyFill="1" applyBorder="1" applyAlignment="1" applyProtection="1">
      <alignment vertical="center"/>
    </xf>
    <xf numFmtId="179" fontId="0" fillId="5" borderId="45" xfId="1" applyNumberFormat="1" applyFont="1" applyFill="1" applyBorder="1" applyAlignment="1" applyProtection="1">
      <alignment vertical="center"/>
    </xf>
    <xf numFmtId="179" fontId="0" fillId="5" borderId="46" xfId="1" applyNumberFormat="1" applyFont="1" applyFill="1" applyBorder="1" applyAlignment="1" applyProtection="1">
      <alignment vertical="center"/>
    </xf>
    <xf numFmtId="179" fontId="0" fillId="5" borderId="254" xfId="1" applyNumberFormat="1" applyFont="1" applyFill="1" applyBorder="1" applyAlignment="1" applyProtection="1">
      <alignment vertical="center"/>
    </xf>
    <xf numFmtId="179" fontId="0" fillId="5" borderId="252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9" fontId="0" fillId="5" borderId="37" xfId="1" applyNumberFormat="1" applyFont="1" applyFill="1" applyBorder="1" applyAlignment="1" applyProtection="1">
      <alignment vertical="center"/>
    </xf>
    <xf numFmtId="179" fontId="0" fillId="5" borderId="68" xfId="1" applyNumberFormat="1" applyFont="1" applyFill="1" applyBorder="1" applyAlignment="1" applyProtection="1">
      <alignment vertical="center"/>
    </xf>
    <xf numFmtId="179" fontId="9" fillId="5" borderId="103" xfId="1" applyNumberFormat="1" applyFont="1" applyFill="1" applyBorder="1" applyAlignment="1" applyProtection="1">
      <alignment vertical="center"/>
    </xf>
    <xf numFmtId="179" fontId="9" fillId="5" borderId="170" xfId="1" applyNumberFormat="1" applyFont="1" applyFill="1" applyBorder="1" applyAlignment="1" applyProtection="1">
      <alignment vertical="center"/>
    </xf>
    <xf numFmtId="0" fontId="13" fillId="0" borderId="163" xfId="0" applyFont="1" applyBorder="1" applyAlignment="1">
      <alignment horizontal="center" vertical="top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4" fillId="0" borderId="164" xfId="0" applyFont="1" applyBorder="1" applyAlignment="1">
      <alignment horizontal="center" vertical="center"/>
    </xf>
    <xf numFmtId="0" fontId="4" fillId="0" borderId="165" xfId="0" applyFont="1" applyBorder="1" applyAlignment="1">
      <alignment horizontal="center" vertical="center"/>
    </xf>
    <xf numFmtId="0" fontId="4" fillId="0" borderId="170" xfId="0" applyFont="1" applyBorder="1" applyAlignment="1">
      <alignment horizontal="center" vertical="center"/>
    </xf>
    <xf numFmtId="185" fontId="4" fillId="0" borderId="114" xfId="0" applyNumberFormat="1" applyFont="1" applyBorder="1" applyAlignment="1">
      <alignment horizontal="center" vertical="center"/>
    </xf>
    <xf numFmtId="185" fontId="0" fillId="0" borderId="114" xfId="0" applyNumberFormat="1" applyBorder="1" applyAlignment="1">
      <alignment horizontal="center" vertical="center"/>
    </xf>
    <xf numFmtId="0" fontId="4" fillId="0" borderId="198" xfId="0" applyFont="1" applyBorder="1" applyAlignment="1">
      <alignment vertical="center" shrinkToFit="1"/>
    </xf>
    <xf numFmtId="0" fontId="0" fillId="0" borderId="199" xfId="0" applyBorder="1" applyAlignment="1">
      <alignment vertical="center" shrinkToFit="1"/>
    </xf>
    <xf numFmtId="0" fontId="0" fillId="0" borderId="200" xfId="0" applyBorder="1" applyAlignment="1">
      <alignment vertical="center" shrinkToFit="1"/>
    </xf>
    <xf numFmtId="0" fontId="4" fillId="0" borderId="263" xfId="0" applyFont="1" applyBorder="1" applyAlignment="1">
      <alignment vertical="center" shrinkToFit="1"/>
    </xf>
    <xf numFmtId="0" fontId="0" fillId="0" borderId="145" xfId="0" applyBorder="1" applyAlignment="1">
      <alignment vertical="center" shrinkToFit="1"/>
    </xf>
    <xf numFmtId="0" fontId="0" fillId="0" borderId="146" xfId="0" applyBorder="1" applyAlignment="1">
      <alignment vertical="center" shrinkToFit="1"/>
    </xf>
    <xf numFmtId="0" fontId="4" fillId="0" borderId="118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4" fillId="0" borderId="268" xfId="0" applyFont="1" applyBorder="1" applyAlignment="1">
      <alignment vertical="center"/>
    </xf>
    <xf numFmtId="185" fontId="0" fillId="0" borderId="175" xfId="0" applyNumberFormat="1" applyBorder="1" applyAlignment="1">
      <alignment horizontal="center" vertical="center"/>
    </xf>
    <xf numFmtId="0" fontId="4" fillId="0" borderId="14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9" fontId="4" fillId="16" borderId="223" xfId="1" applyNumberFormat="1" applyFont="1" applyFill="1" applyBorder="1" applyAlignment="1" applyProtection="1">
      <alignment vertical="center"/>
    </xf>
    <xf numFmtId="179" fontId="4" fillId="16" borderId="224" xfId="1" applyNumberFormat="1" applyFont="1" applyFill="1" applyBorder="1" applyAlignment="1" applyProtection="1">
      <alignment vertical="center"/>
    </xf>
    <xf numFmtId="179" fontId="8" fillId="0" borderId="190" xfId="1" applyNumberFormat="1" applyFont="1" applyFill="1" applyBorder="1" applyAlignment="1" applyProtection="1">
      <alignment horizontal="right" vertical="center"/>
    </xf>
    <xf numFmtId="179" fontId="8" fillId="0" borderId="191" xfId="1" applyNumberFormat="1" applyFont="1" applyFill="1" applyBorder="1" applyAlignment="1" applyProtection="1">
      <alignment horizontal="right" vertical="center"/>
    </xf>
    <xf numFmtId="179" fontId="8" fillId="0" borderId="192" xfId="1" applyNumberFormat="1" applyFont="1" applyFill="1" applyBorder="1" applyAlignment="1" applyProtection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96" xfId="0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5" fillId="0" borderId="197" xfId="0" applyFont="1" applyBorder="1" applyAlignment="1">
      <alignment horizontal="center" vertical="center"/>
    </xf>
    <xf numFmtId="0" fontId="4" fillId="0" borderId="140" xfId="0" applyFont="1" applyBorder="1" applyAlignment="1">
      <alignment vertical="center"/>
    </xf>
    <xf numFmtId="0" fontId="4" fillId="0" borderId="159" xfId="0" applyFont="1" applyBorder="1" applyAlignment="1">
      <alignment vertical="center"/>
    </xf>
    <xf numFmtId="0" fontId="4" fillId="16" borderId="202" xfId="0" applyFont="1" applyFill="1" applyBorder="1" applyAlignment="1">
      <alignment horizontal="center" vertical="center"/>
    </xf>
    <xf numFmtId="0" fontId="4" fillId="16" borderId="203" xfId="0" applyFont="1" applyFill="1" applyBorder="1" applyAlignment="1">
      <alignment horizontal="center" vertical="center"/>
    </xf>
    <xf numFmtId="0" fontId="4" fillId="16" borderId="204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10" fillId="4" borderId="164" xfId="0" applyFont="1" applyFill="1" applyBorder="1" applyAlignment="1">
      <alignment horizontal="distributed" vertical="center" justifyLastLine="1"/>
    </xf>
    <xf numFmtId="0" fontId="10" fillId="4" borderId="165" xfId="0" applyFont="1" applyFill="1" applyBorder="1" applyAlignment="1">
      <alignment horizontal="distributed" vertical="center" justifyLastLine="1"/>
    </xf>
    <xf numFmtId="0" fontId="10" fillId="4" borderId="170" xfId="0" applyFont="1" applyFill="1" applyBorder="1" applyAlignment="1">
      <alignment horizontal="distributed" vertical="center" justifyLastLine="1"/>
    </xf>
    <xf numFmtId="0" fontId="4" fillId="16" borderId="136" xfId="0" applyFont="1" applyFill="1" applyBorder="1" applyAlignment="1">
      <alignment horizontal="center" vertical="center"/>
    </xf>
    <xf numFmtId="0" fontId="4" fillId="16" borderId="135" xfId="0" applyFont="1" applyFill="1" applyBorder="1" applyAlignment="1">
      <alignment horizontal="center" vertical="center"/>
    </xf>
    <xf numFmtId="0" fontId="4" fillId="16" borderId="137" xfId="0" applyFont="1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4" fillId="16" borderId="20" xfId="0" applyFont="1" applyFill="1" applyBorder="1" applyAlignment="1">
      <alignment horizontal="center" vertical="center"/>
    </xf>
    <xf numFmtId="0" fontId="4" fillId="16" borderId="68" xfId="0" applyFont="1" applyFill="1" applyBorder="1" applyAlignment="1">
      <alignment horizontal="center" vertical="center"/>
    </xf>
    <xf numFmtId="0" fontId="8" fillId="0" borderId="193" xfId="0" applyFont="1" applyBorder="1" applyAlignment="1">
      <alignment horizontal="center" vertical="center"/>
    </xf>
    <xf numFmtId="0" fontId="8" fillId="0" borderId="194" xfId="0" applyFont="1" applyBorder="1" applyAlignment="1">
      <alignment horizontal="center" vertical="center"/>
    </xf>
    <xf numFmtId="0" fontId="8" fillId="0" borderId="195" xfId="0" applyFont="1" applyBorder="1" applyAlignment="1">
      <alignment horizontal="center" vertical="center"/>
    </xf>
    <xf numFmtId="0" fontId="4" fillId="0" borderId="188" xfId="0" applyFont="1" applyBorder="1" applyAlignment="1">
      <alignment horizontal="center" vertical="center" textRotation="255" wrapText="1"/>
    </xf>
    <xf numFmtId="0" fontId="4" fillId="0" borderId="166" xfId="0" applyFont="1" applyBorder="1" applyAlignment="1">
      <alignment horizontal="center" vertical="center" textRotation="255" wrapText="1"/>
    </xf>
    <xf numFmtId="0" fontId="4" fillId="0" borderId="182" xfId="0" applyFont="1" applyBorder="1" applyAlignment="1">
      <alignment horizontal="center" vertical="center" textRotation="255" wrapText="1"/>
    </xf>
    <xf numFmtId="0" fontId="13" fillId="0" borderId="221" xfId="0" applyFont="1" applyBorder="1" applyAlignment="1">
      <alignment horizontal="center" vertical="center" textRotation="255"/>
    </xf>
    <xf numFmtId="0" fontId="13" fillId="0" borderId="114" xfId="0" applyFont="1" applyBorder="1" applyAlignment="1">
      <alignment horizontal="center" vertical="center" textRotation="255"/>
    </xf>
    <xf numFmtId="0" fontId="13" fillId="0" borderId="208" xfId="0" applyFont="1" applyBorder="1" applyAlignment="1">
      <alignment horizontal="center" vertical="center" textRotation="255"/>
    </xf>
    <xf numFmtId="179" fontId="8" fillId="0" borderId="201" xfId="1" applyNumberFormat="1" applyFont="1" applyFill="1" applyBorder="1" applyAlignment="1" applyProtection="1">
      <alignment horizontal="right" vertical="center"/>
    </xf>
    <xf numFmtId="0" fontId="5" fillId="0" borderId="16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0" fillId="0" borderId="188" xfId="0" applyBorder="1" applyAlignment="1">
      <alignment horizontal="center" vertical="center" textRotation="255"/>
    </xf>
    <xf numFmtId="0" fontId="0" fillId="0" borderId="16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41" fontId="4" fillId="0" borderId="225" xfId="0" applyNumberFormat="1" applyFont="1" applyBorder="1" applyAlignment="1">
      <alignment horizontal="center" vertical="center"/>
    </xf>
    <xf numFmtId="0" fontId="4" fillId="16" borderId="45" xfId="0" applyFont="1" applyFill="1" applyBorder="1" applyAlignment="1">
      <alignment horizontal="center" vertical="center"/>
    </xf>
    <xf numFmtId="0" fontId="4" fillId="16" borderId="163" xfId="0" applyFont="1" applyFill="1" applyBorder="1" applyAlignment="1">
      <alignment horizontal="center" vertical="center"/>
    </xf>
    <xf numFmtId="0" fontId="4" fillId="16" borderId="46" xfId="0" applyFont="1" applyFill="1" applyBorder="1" applyAlignment="1">
      <alignment horizontal="center" vertical="center"/>
    </xf>
    <xf numFmtId="0" fontId="7" fillId="0" borderId="188" xfId="0" applyFont="1" applyBorder="1" applyAlignment="1">
      <alignment horizontal="center" vertical="center" textRotation="255" wrapText="1"/>
    </xf>
    <xf numFmtId="0" fontId="7" fillId="0" borderId="166" xfId="0" applyFont="1" applyBorder="1" applyAlignment="1">
      <alignment horizontal="center" vertical="center" textRotation="255" wrapText="1"/>
    </xf>
    <xf numFmtId="0" fontId="4" fillId="0" borderId="221" xfId="0" applyFont="1" applyBorder="1" applyAlignment="1">
      <alignment horizontal="center" vertical="center"/>
    </xf>
    <xf numFmtId="0" fontId="4" fillId="0" borderId="208" xfId="0" applyFont="1" applyBorder="1" applyAlignment="1">
      <alignment horizontal="center" vertical="center"/>
    </xf>
    <xf numFmtId="179" fontId="4" fillId="16" borderId="222" xfId="1" applyNumberFormat="1" applyFont="1" applyFill="1" applyBorder="1" applyAlignment="1" applyProtection="1">
      <alignment vertical="center"/>
    </xf>
    <xf numFmtId="0" fontId="10" fillId="11" borderId="183" xfId="0" applyFont="1" applyFill="1" applyBorder="1" applyAlignment="1">
      <alignment horizontal="center" vertical="center" wrapText="1"/>
    </xf>
    <xf numFmtId="0" fontId="10" fillId="11" borderId="114" xfId="0" applyFont="1" applyFill="1" applyBorder="1" applyAlignment="1">
      <alignment horizontal="center" vertical="center" wrapText="1"/>
    </xf>
    <xf numFmtId="0" fontId="10" fillId="11" borderId="214" xfId="0" applyFont="1" applyFill="1" applyBorder="1" applyAlignment="1">
      <alignment horizontal="center" vertical="center" wrapText="1"/>
    </xf>
    <xf numFmtId="0" fontId="10" fillId="11" borderId="160" xfId="0" applyFont="1" applyFill="1" applyBorder="1" applyAlignment="1">
      <alignment horizontal="center" vertical="center" wrapText="1"/>
    </xf>
    <xf numFmtId="0" fontId="10" fillId="11" borderId="175" xfId="0" applyFont="1" applyFill="1" applyBorder="1" applyAlignment="1">
      <alignment horizontal="center" vertical="center" wrapText="1"/>
    </xf>
    <xf numFmtId="0" fontId="10" fillId="11" borderId="7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/>
    </xf>
    <xf numFmtId="0" fontId="10" fillId="11" borderId="155" xfId="0" applyFont="1" applyFill="1" applyBorder="1" applyAlignment="1">
      <alignment horizontal="center" vertical="center"/>
    </xf>
    <xf numFmtId="0" fontId="0" fillId="11" borderId="155" xfId="0" applyFill="1" applyBorder="1" applyAlignment="1">
      <alignment horizontal="center" vertical="center"/>
    </xf>
    <xf numFmtId="0" fontId="10" fillId="11" borderId="161" xfId="0" applyFont="1" applyFill="1" applyBorder="1" applyAlignment="1">
      <alignment horizontal="center" vertical="center"/>
    </xf>
    <xf numFmtId="0" fontId="0" fillId="11" borderId="162" xfId="0" applyFill="1" applyBorder="1" applyAlignment="1">
      <alignment horizontal="center" vertical="center"/>
    </xf>
    <xf numFmtId="0" fontId="4" fillId="0" borderId="15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11" borderId="143" xfId="0" applyFont="1" applyFill="1" applyBorder="1" applyAlignment="1">
      <alignment horizontal="center" vertical="center"/>
    </xf>
    <xf numFmtId="0" fontId="10" fillId="11" borderId="125" xfId="0" applyFont="1" applyFill="1" applyBorder="1" applyAlignment="1">
      <alignment horizontal="center" vertical="center"/>
    </xf>
    <xf numFmtId="0" fontId="17" fillId="11" borderId="183" xfId="0" applyFont="1" applyFill="1" applyBorder="1" applyAlignment="1">
      <alignment horizontal="center" vertical="center" wrapText="1"/>
    </xf>
    <xf numFmtId="0" fontId="17" fillId="11" borderId="114" xfId="0" applyFont="1" applyFill="1" applyBorder="1" applyAlignment="1">
      <alignment horizontal="center" vertical="center" wrapText="1"/>
    </xf>
    <xf numFmtId="0" fontId="17" fillId="11" borderId="214" xfId="0" applyFont="1" applyFill="1" applyBorder="1" applyAlignment="1">
      <alignment horizontal="center" vertical="center" wrapText="1"/>
    </xf>
    <xf numFmtId="0" fontId="4" fillId="11" borderId="188" xfId="0" applyFont="1" applyFill="1" applyBorder="1" applyAlignment="1">
      <alignment vertical="center"/>
    </xf>
    <xf numFmtId="0" fontId="4" fillId="11" borderId="166" xfId="0" applyFont="1" applyFill="1" applyBorder="1" applyAlignment="1">
      <alignment vertical="center"/>
    </xf>
    <xf numFmtId="0" fontId="4" fillId="11" borderId="72" xfId="0" applyFont="1" applyFill="1" applyBorder="1" applyAlignment="1">
      <alignment vertical="center"/>
    </xf>
    <xf numFmtId="0" fontId="17" fillId="11" borderId="160" xfId="0" applyFont="1" applyFill="1" applyBorder="1" applyAlignment="1">
      <alignment horizontal="center" vertical="center" wrapText="1"/>
    </xf>
    <xf numFmtId="0" fontId="17" fillId="11" borderId="73" xfId="0" applyFont="1" applyFill="1" applyBorder="1" applyAlignment="1">
      <alignment horizontal="center" vertical="center" wrapText="1"/>
    </xf>
    <xf numFmtId="0" fontId="10" fillId="11" borderId="159" xfId="0" applyFont="1" applyFill="1" applyBorder="1" applyAlignment="1">
      <alignment horizontal="center" vertical="center"/>
    </xf>
    <xf numFmtId="0" fontId="10" fillId="11" borderId="262" xfId="0" applyFont="1" applyFill="1" applyBorder="1" applyAlignment="1">
      <alignment horizontal="center" vertical="center"/>
    </xf>
    <xf numFmtId="0" fontId="10" fillId="11" borderId="183" xfId="0" applyFont="1" applyFill="1" applyBorder="1" applyAlignment="1">
      <alignment horizontal="center" vertical="center"/>
    </xf>
    <xf numFmtId="0" fontId="10" fillId="11" borderId="214" xfId="0" applyFont="1" applyFill="1" applyBorder="1" applyAlignment="1">
      <alignment horizontal="center" vertical="center"/>
    </xf>
    <xf numFmtId="0" fontId="10" fillId="11" borderId="188" xfId="0" applyFont="1" applyFill="1" applyBorder="1" applyAlignment="1">
      <alignment horizontal="center" vertical="center"/>
    </xf>
    <xf numFmtId="0" fontId="10" fillId="11" borderId="72" xfId="0" applyFont="1" applyFill="1" applyBorder="1" applyAlignment="1">
      <alignment horizontal="center" vertical="center"/>
    </xf>
    <xf numFmtId="0" fontId="10" fillId="11" borderId="160" xfId="0" applyFont="1" applyFill="1" applyBorder="1" applyAlignment="1">
      <alignment horizontal="center" vertical="center"/>
    </xf>
    <xf numFmtId="0" fontId="10" fillId="11" borderId="7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【キャッシュフロー用】受入経費試算4-1" xfId="2" xr:uid="{00000000-0005-0000-0000-000002000000}"/>
  </cellStyles>
  <dxfs count="30"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ont>
        <color rgb="FFFFCC99"/>
      </font>
    </dxf>
    <dxf>
      <font>
        <color theme="0"/>
      </font>
    </dxf>
    <dxf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12"/>
      </font>
      <fill>
        <patternFill>
          <bgColor indexed="2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343F7"/>
      <color rgb="FF66FFFF"/>
      <color rgb="FFFFCCFF"/>
      <color rgb="FF666699"/>
      <color rgb="FF339966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3" dropStyle="combo" dx="15" fmlaLink="'9D･A9D計算シート'!$B$47" fmlaRange="'9D･A9D計算シート'!$C$50:$C$55" noThreeD="1" sel="1" val="0"/>
</file>

<file path=xl/ctrlProps/ctrlProp2.xml><?xml version="1.0" encoding="utf-8"?>
<formControlPr xmlns="http://schemas.microsoft.com/office/spreadsheetml/2009/9/main" objectType="Drop" dropLines="3" dropStyle="combo" dx="15" fmlaLink="'9D･A9D計算シート'!$B$24" fmlaRange="'9D･A9D計算シート'!$C$26:$C$28" noThreeD="1" sel="3" val="0"/>
</file>

<file path=xl/ctrlProps/ctrlProp3.xml><?xml version="1.0" encoding="utf-8"?>
<formControlPr xmlns="http://schemas.microsoft.com/office/spreadsheetml/2009/9/main" objectType="Drop" dropStyle="combo" dx="15" fmlaLink="'9D･A9D計算シート'!$B$33" fmlaRange="'9D･A9D計算シート'!$C$36:$C$4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12</xdr:row>
          <xdr:rowOff>45720</xdr:rowOff>
        </xdr:from>
        <xdr:to>
          <xdr:col>8</xdr:col>
          <xdr:colOff>0</xdr:colOff>
          <xdr:row>13</xdr:row>
          <xdr:rowOff>45720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289560</xdr:colOff>
          <xdr:row>7</xdr:row>
          <xdr:rowOff>121920</xdr:rowOff>
        </xdr:from>
        <xdr:to>
          <xdr:col>12</xdr:col>
          <xdr:colOff>45720</xdr:colOff>
          <xdr:row>8</xdr:row>
          <xdr:rowOff>121920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502920</xdr:colOff>
          <xdr:row>6</xdr:row>
          <xdr:rowOff>7620</xdr:rowOff>
        </xdr:from>
        <xdr:to>
          <xdr:col>12</xdr:col>
          <xdr:colOff>114300</xdr:colOff>
          <xdr:row>7</xdr:row>
          <xdr:rowOff>22860</xdr:rowOff>
        </xdr:to>
        <xdr:sp macro="" textlink="">
          <xdr:nvSpPr>
            <xdr:cNvPr id="2569" name="Drop Down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0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171450</xdr:colOff>
      <xdr:row>36</xdr:row>
      <xdr:rowOff>195262</xdr:rowOff>
    </xdr:from>
    <xdr:to>
      <xdr:col>14</xdr:col>
      <xdr:colOff>108450</xdr:colOff>
      <xdr:row>38</xdr:row>
      <xdr:rowOff>208162</xdr:rowOff>
    </xdr:to>
    <xdr:sp macro="" textlink="">
      <xdr:nvSpPr>
        <xdr:cNvPr id="30" name="AutoShape 6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7458075" y="8398668"/>
          <a:ext cx="1080000" cy="489150"/>
        </a:xfrm>
        <a:prstGeom prst="roundRect">
          <a:avLst>
            <a:gd name="adj" fmla="val 16667"/>
          </a:avLst>
        </a:prstGeom>
        <a:noFill/>
        <a:ln w="19050">
          <a:solidFill>
            <a:srgbClr val="FF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57151</xdr:colOff>
      <xdr:row>38</xdr:row>
      <xdr:rowOff>190050</xdr:rowOff>
    </xdr:from>
    <xdr:to>
      <xdr:col>13</xdr:col>
      <xdr:colOff>178595</xdr:colOff>
      <xdr:row>43</xdr:row>
      <xdr:rowOff>114300</xdr:rowOff>
    </xdr:to>
    <xdr:sp macro="" textlink="">
      <xdr:nvSpPr>
        <xdr:cNvPr id="33" name="Freeform 20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/>
        </xdr:cNvSpPr>
      </xdr:nvSpPr>
      <xdr:spPr bwMode="auto">
        <a:xfrm>
          <a:off x="6200776" y="8869706"/>
          <a:ext cx="1835944" cy="1067250"/>
        </a:xfrm>
        <a:custGeom>
          <a:avLst/>
          <a:gdLst>
            <a:gd name="T0" fmla="*/ 2147483647 w 226"/>
            <a:gd name="T1" fmla="*/ 0 h 93"/>
            <a:gd name="T2" fmla="*/ 2147483647 w 226"/>
            <a:gd name="T3" fmla="*/ 2147483647 h 93"/>
            <a:gd name="T4" fmla="*/ 2147483647 w 226"/>
            <a:gd name="T5" fmla="*/ 2147483647 h 93"/>
            <a:gd name="T6" fmla="*/ 0 w 226"/>
            <a:gd name="T7" fmla="*/ 2147483647 h 9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226" h="93">
              <a:moveTo>
                <a:pt x="226" y="0"/>
              </a:moveTo>
              <a:lnTo>
                <a:pt x="226" y="80"/>
              </a:lnTo>
              <a:lnTo>
                <a:pt x="226" y="93"/>
              </a:lnTo>
              <a:lnTo>
                <a:pt x="0" y="93"/>
              </a:lnTo>
            </a:path>
          </a:pathLst>
        </a:custGeom>
        <a:noFill/>
        <a:ln w="38100" cap="flat" cmpd="sng">
          <a:solidFill>
            <a:srgbClr val="FF0000"/>
          </a:solidFill>
          <a:prstDash val="solid"/>
          <a:round/>
          <a:headEnd type="none" w="med" len="med"/>
          <a:tailEnd type="triangle" w="med" len="lg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573202</xdr:colOff>
      <xdr:row>16</xdr:row>
      <xdr:rowOff>61912</xdr:rowOff>
    </xdr:from>
    <xdr:to>
      <xdr:col>13</xdr:col>
      <xdr:colOff>180976</xdr:colOff>
      <xdr:row>16</xdr:row>
      <xdr:rowOff>61912</xdr:rowOff>
    </xdr:to>
    <xdr:sp macro="" textlink="">
      <xdr:nvSpPr>
        <xdr:cNvPr id="34" name="Line 5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4907077" y="3883818"/>
          <a:ext cx="3465399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104776</xdr:rowOff>
    </xdr:from>
    <xdr:to>
      <xdr:col>14</xdr:col>
      <xdr:colOff>9524</xdr:colOff>
      <xdr:row>17</xdr:row>
      <xdr:rowOff>226220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9525" y="831057"/>
          <a:ext cx="8929687" cy="3455194"/>
        </a:xfrm>
        <a:prstGeom prst="rect">
          <a:avLst/>
        </a:prstGeom>
        <a:noFill/>
        <a:ln w="19050" cap="sq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248737</xdr:colOff>
      <xdr:row>33</xdr:row>
      <xdr:rowOff>0</xdr:rowOff>
    </xdr:from>
    <xdr:to>
      <xdr:col>23</xdr:col>
      <xdr:colOff>560887</xdr:colOff>
      <xdr:row>40</xdr:row>
      <xdr:rowOff>190275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4526712" y="7696200"/>
          <a:ext cx="2160000" cy="180000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248738</xdr:colOff>
      <xdr:row>45</xdr:row>
      <xdr:rowOff>0</xdr:rowOff>
    </xdr:from>
    <xdr:to>
      <xdr:col>23</xdr:col>
      <xdr:colOff>560888</xdr:colOff>
      <xdr:row>51</xdr:row>
      <xdr:rowOff>0</xdr:rowOff>
    </xdr:to>
    <xdr:sp macro="" textlink="">
      <xdr:nvSpPr>
        <xdr:cNvPr id="37" name="右矢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 rot="10800000">
          <a:off x="14526713" y="10496550"/>
          <a:ext cx="2160000" cy="1428750"/>
        </a:xfrm>
        <a:prstGeom prst="rightArrow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55494</xdr:colOff>
      <xdr:row>29</xdr:row>
      <xdr:rowOff>40577</xdr:rowOff>
    </xdr:from>
    <xdr:ext cx="385555" cy="27000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794807" y="6815233"/>
          <a:ext cx="385555" cy="270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>
          <a:spAutoFit/>
        </a:bodyPr>
        <a:lstStyle/>
        <a:p>
          <a:r>
            <a:rPr kumimoji="1" lang="ja-JP" altLang="en-US" sz="1100"/>
            <a:t>補助対象受入費</a:t>
          </a:r>
        </a:p>
      </xdr:txBody>
    </xdr:sp>
    <xdr:clientData/>
  </xdr:oneCellAnchor>
  <xdr:twoCellAnchor editAs="absolute">
    <xdr:from>
      <xdr:col>25</xdr:col>
      <xdr:colOff>193163</xdr:colOff>
      <xdr:row>46</xdr:row>
      <xdr:rowOff>2378</xdr:rowOff>
    </xdr:from>
    <xdr:to>
      <xdr:col>25</xdr:col>
      <xdr:colOff>578718</xdr:colOff>
      <xdr:row>49</xdr:row>
      <xdr:rowOff>222047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8290663" y="10777534"/>
          <a:ext cx="385555" cy="934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rtlCol="0" anchor="ctr" anchorCtr="1">
          <a:spAutoFit/>
        </a:bodyPr>
        <a:lstStyle/>
        <a:p>
          <a:r>
            <a:rPr kumimoji="1" lang="ja-JP" altLang="en-US" sz="1100" b="1"/>
            <a:t>企業負担金</a:t>
          </a:r>
        </a:p>
      </xdr:txBody>
    </xdr:sp>
    <xdr:clientData/>
  </xdr:twoCellAnchor>
  <xdr:oneCellAnchor>
    <xdr:from>
      <xdr:col>25</xdr:col>
      <xdr:colOff>208463</xdr:colOff>
      <xdr:row>51</xdr:row>
      <xdr:rowOff>0</xdr:rowOff>
    </xdr:from>
    <xdr:ext cx="386851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8305963" y="11727656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+mj-ea"/>
              <a:ea typeface="+mj-ea"/>
            </a:rPr>
            <a:t>(B)</a:t>
          </a:r>
        </a:p>
      </xdr:txBody>
    </xdr:sp>
    <xdr:clientData/>
  </xdr:oneCellAnchor>
  <xdr:twoCellAnchor editAs="oneCell">
    <xdr:from>
      <xdr:col>15</xdr:col>
      <xdr:colOff>55493</xdr:colOff>
      <xdr:row>41</xdr:row>
      <xdr:rowOff>72609</xdr:rowOff>
    </xdr:from>
    <xdr:to>
      <xdr:col>15</xdr:col>
      <xdr:colOff>484118</xdr:colOff>
      <xdr:row>50</xdr:row>
      <xdr:rowOff>197484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794806" y="9657140"/>
          <a:ext cx="428625" cy="226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1"/>
        <a:lstStyle/>
        <a:p>
          <a:r>
            <a:rPr kumimoji="1" lang="ja-JP" altLang="en-US" sz="1100"/>
            <a:t>補助対象研修費</a:t>
          </a:r>
        </a:p>
      </xdr:txBody>
    </xdr:sp>
    <xdr:clientData/>
  </xdr:twoCellAnchor>
  <xdr:twoCellAnchor>
    <xdr:from>
      <xdr:col>17</xdr:col>
      <xdr:colOff>0</xdr:colOff>
      <xdr:row>40</xdr:row>
      <xdr:rowOff>219075</xdr:rowOff>
    </xdr:from>
    <xdr:to>
      <xdr:col>17</xdr:col>
      <xdr:colOff>333375</xdr:colOff>
      <xdr:row>40</xdr:row>
      <xdr:rowOff>219075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 bwMode="auto">
        <a:xfrm>
          <a:off x="11715750" y="9286875"/>
          <a:ext cx="33337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17</xdr:col>
      <xdr:colOff>31750</xdr:colOff>
      <xdr:row>29</xdr:row>
      <xdr:rowOff>0</xdr:rowOff>
    </xdr:from>
    <xdr:to>
      <xdr:col>18</xdr:col>
      <xdr:colOff>31750</xdr:colOff>
      <xdr:row>29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 bwMode="auto">
        <a:xfrm>
          <a:off x="11518900" y="1438275"/>
          <a:ext cx="50482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21</xdr:col>
      <xdr:colOff>10583</xdr:colOff>
      <xdr:row>33</xdr:row>
      <xdr:rowOff>0</xdr:rowOff>
    </xdr:from>
    <xdr:to>
      <xdr:col>24</xdr:col>
      <xdr:colOff>0</xdr:colOff>
      <xdr:row>33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 bwMode="auto">
        <a:xfrm>
          <a:off x="14288558" y="769620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455082</xdr:colOff>
      <xdr:row>29</xdr:row>
      <xdr:rowOff>7499</xdr:rowOff>
    </xdr:from>
    <xdr:to>
      <xdr:col>15</xdr:col>
      <xdr:colOff>685799</xdr:colOff>
      <xdr:row>40</xdr:row>
      <xdr:rowOff>219074</xdr:rowOff>
    </xdr:to>
    <xdr:sp macro="" textlink="">
      <xdr:nvSpPr>
        <xdr:cNvPr id="38" name="左中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10199157" y="6751199"/>
          <a:ext cx="230717" cy="253567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45722</xdr:colOff>
      <xdr:row>45</xdr:row>
      <xdr:rowOff>209549</xdr:rowOff>
    </xdr:from>
    <xdr:to>
      <xdr:col>25</xdr:col>
      <xdr:colOff>261722</xdr:colOff>
      <xdr:row>52</xdr:row>
      <xdr:rowOff>2699</xdr:rowOff>
    </xdr:to>
    <xdr:sp macro="" textlink="">
      <xdr:nvSpPr>
        <xdr:cNvPr id="40" name="左中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 flipH="1">
          <a:off x="17571722" y="4981574"/>
          <a:ext cx="216000" cy="1460025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455083</xdr:colOff>
      <xdr:row>41</xdr:row>
      <xdr:rowOff>43500</xdr:rowOff>
    </xdr:from>
    <xdr:to>
      <xdr:col>15</xdr:col>
      <xdr:colOff>691302</xdr:colOff>
      <xdr:row>51</xdr:row>
      <xdr:rowOff>0</xdr:rowOff>
    </xdr:to>
    <xdr:sp macro="" textlink="">
      <xdr:nvSpPr>
        <xdr:cNvPr id="42" name="左中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10444427" y="8937469"/>
          <a:ext cx="236219" cy="2313937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148931</xdr:colOff>
      <xdr:row>27</xdr:row>
      <xdr:rowOff>214315</xdr:rowOff>
    </xdr:from>
    <xdr:ext cx="386851" cy="275717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3460119" y="6512721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①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20</xdr:col>
      <xdr:colOff>922837</xdr:colOff>
      <xdr:row>32</xdr:row>
      <xdr:rowOff>0</xdr:rowOff>
    </xdr:from>
    <xdr:ext cx="386851" cy="275717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4238787" y="7458075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③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24</xdr:col>
      <xdr:colOff>851400</xdr:colOff>
      <xdr:row>44</xdr:row>
      <xdr:rowOff>190503</xdr:rowOff>
    </xdr:from>
    <xdr:ext cx="386851" cy="275717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7782088" y="10251284"/>
          <a:ext cx="386851" cy="275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343F7"/>
              </a:solidFill>
              <a:latin typeface="+mj-ea"/>
              <a:ea typeface="+mj-ea"/>
            </a:rPr>
            <a:t>②</a:t>
          </a:r>
          <a:endParaRPr kumimoji="1" lang="en-US" altLang="ja-JP" sz="1100" b="1">
            <a:solidFill>
              <a:srgbClr val="0343F7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21</xdr:col>
      <xdr:colOff>0</xdr:colOff>
      <xdr:row>41</xdr:row>
      <xdr:rowOff>0</xdr:rowOff>
    </xdr:from>
    <xdr:to>
      <xdr:col>23</xdr:col>
      <xdr:colOff>799042</xdr:colOff>
      <xdr:row>41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 bwMode="auto">
        <a:xfrm>
          <a:off x="14277975" y="9544050"/>
          <a:ext cx="2646892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 cap="flat" cmpd="sng" algn="ctr">
          <a:solidFill>
            <a:schemeClr val="bg1">
              <a:lumMod val="50000"/>
            </a:schemeClr>
          </a:solidFill>
          <a:prstDash val="sysDot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1</xdr:row>
      <xdr:rowOff>226219</xdr:rowOff>
    </xdr:from>
    <xdr:to>
      <xdr:col>20</xdr:col>
      <xdr:colOff>130968</xdr:colOff>
      <xdr:row>3</xdr:row>
      <xdr:rowOff>235744</xdr:rowOff>
    </xdr:to>
    <xdr:sp macro="" textlink="">
      <xdr:nvSpPr>
        <xdr:cNvPr id="6" name="Text Box 22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15186" y="488157"/>
          <a:ext cx="5548313" cy="533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第一四半期に精算に関わる支払がある場合は、国庫補助金が入金されてからとなるため、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支払時期が第二四半期（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月以降）になることがあります。</a:t>
          </a:r>
        </a:p>
      </xdr:txBody>
    </xdr:sp>
    <xdr:clientData/>
  </xdr:twoCellAnchor>
  <xdr:twoCellAnchor>
    <xdr:from>
      <xdr:col>4</xdr:col>
      <xdr:colOff>304810</xdr:colOff>
      <xdr:row>2</xdr:row>
      <xdr:rowOff>19050</xdr:rowOff>
    </xdr:from>
    <xdr:to>
      <xdr:col>10</xdr:col>
      <xdr:colOff>523898</xdr:colOff>
      <xdr:row>3</xdr:row>
      <xdr:rowOff>152400</xdr:rowOff>
    </xdr:to>
    <xdr:grpSp>
      <xdr:nvGrpSpPr>
        <xdr:cNvPr id="7" name="Group 28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>
          <a:grpSpLocks/>
        </xdr:cNvGrpSpPr>
      </xdr:nvGrpSpPr>
      <xdr:grpSpPr bwMode="auto">
        <a:xfrm>
          <a:off x="2495560" y="552450"/>
          <a:ext cx="3895738" cy="400050"/>
          <a:chOff x="311" y="40"/>
          <a:chExt cx="415" cy="32"/>
        </a:xfrm>
      </xdr:grpSpPr>
      <xdr:sp macro="" textlink="">
        <xdr:nvSpPr>
          <xdr:cNvPr id="8" name="Freeform 290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/>
          </xdr:cNvSpPr>
        </xdr:nvSpPr>
        <xdr:spPr bwMode="auto">
          <a:xfrm>
            <a:off x="31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9" name="Freeform 291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/>
          </xdr:cNvSpPr>
        </xdr:nvSpPr>
        <xdr:spPr bwMode="auto">
          <a:xfrm flipH="1">
            <a:off x="721" y="40"/>
            <a:ext cx="5" cy="32"/>
          </a:xfrm>
          <a:custGeom>
            <a:avLst/>
            <a:gdLst>
              <a:gd name="T0" fmla="*/ 3 w 10"/>
              <a:gd name="T1" fmla="*/ 0 h 80"/>
              <a:gd name="T2" fmla="*/ 0 w 10"/>
              <a:gd name="T3" fmla="*/ 0 h 80"/>
              <a:gd name="T4" fmla="*/ 0 w 10"/>
              <a:gd name="T5" fmla="*/ 13 h 80"/>
              <a:gd name="T6" fmla="*/ 3 w 10"/>
              <a:gd name="T7" fmla="*/ 13 h 80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10" h="80">
                <a:moveTo>
                  <a:pt x="9" y="0"/>
                </a:moveTo>
                <a:lnTo>
                  <a:pt x="0" y="0"/>
                </a:lnTo>
                <a:lnTo>
                  <a:pt x="0" y="80"/>
                </a:lnTo>
                <a:lnTo>
                  <a:pt x="10" y="8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67"/>
  <sheetViews>
    <sheetView showGridLines="0" tabSelected="1" view="pageBreakPreview" topLeftCell="A20" zoomScaleNormal="80" zoomScaleSheetLayoutView="100" workbookViewId="0">
      <selection activeCell="M7" sqref="M7"/>
    </sheetView>
  </sheetViews>
  <sheetFormatPr defaultColWidth="9" defaultRowHeight="13.5" customHeight="1" x14ac:dyDescent="0.2"/>
  <cols>
    <col min="1" max="2" width="5.6640625" style="151" customWidth="1"/>
    <col min="3" max="3" width="6" style="151" customWidth="1"/>
    <col min="4" max="4" width="3.109375" style="151" customWidth="1"/>
    <col min="5" max="5" width="6.6640625" style="151" customWidth="1"/>
    <col min="6" max="6" width="8.6640625" style="151" customWidth="1"/>
    <col min="7" max="7" width="12.77734375" style="151" customWidth="1"/>
    <col min="8" max="9" width="8.6640625" style="151" customWidth="1"/>
    <col min="10" max="10" width="15.109375" style="151" customWidth="1"/>
    <col min="11" max="11" width="8.6640625" style="151" customWidth="1"/>
    <col min="12" max="12" width="9.6640625" style="151" customWidth="1"/>
    <col min="13" max="13" width="8.6640625" style="151" customWidth="1"/>
    <col min="14" max="14" width="9.6640625" style="151" customWidth="1"/>
    <col min="15" max="15" width="10.6640625" style="151" customWidth="1"/>
    <col min="16" max="16" width="10.21875" style="151" customWidth="1"/>
    <col min="17" max="17" width="15.6640625" style="200" customWidth="1"/>
    <col min="18" max="18" width="4.77734375" style="200" customWidth="1"/>
    <col min="19" max="19" width="10.6640625" style="200" customWidth="1"/>
    <col min="20" max="20" width="5.6640625" style="200" customWidth="1"/>
    <col min="21" max="21" width="12.6640625" style="200" customWidth="1"/>
    <col min="22" max="22" width="10.6640625" style="200" customWidth="1"/>
    <col min="23" max="23" width="13.6640625" style="200" customWidth="1"/>
    <col min="24" max="24" width="10.6640625" style="200" customWidth="1"/>
    <col min="25" max="25" width="15.21875" style="200" customWidth="1"/>
    <col min="26" max="26" width="12.6640625" style="200" customWidth="1"/>
    <col min="27" max="27" width="4.44140625" style="151" customWidth="1"/>
    <col min="28" max="16384" width="9" style="151"/>
  </cols>
  <sheetData>
    <row r="1" spans="1:26" ht="20.100000000000001" customHeight="1" x14ac:dyDescent="0.2">
      <c r="A1" s="150" t="s">
        <v>217</v>
      </c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26" ht="18.75" customHeight="1" x14ac:dyDescent="0.2">
      <c r="Q2" s="151"/>
      <c r="R2" s="151"/>
      <c r="S2" s="151"/>
      <c r="T2" s="151"/>
      <c r="U2" s="151"/>
      <c r="V2" s="151"/>
      <c r="W2" s="151"/>
      <c r="X2" s="151"/>
      <c r="Y2" s="151"/>
      <c r="Z2" s="151"/>
    </row>
    <row r="3" spans="1:26" ht="18.75" customHeight="1" x14ac:dyDescent="0.2">
      <c r="A3" s="150" t="s">
        <v>76</v>
      </c>
      <c r="E3" s="145"/>
      <c r="F3" s="152" t="s">
        <v>209</v>
      </c>
      <c r="G3" s="145" t="str">
        <f>"("&amp;'9D･A9D計算シート'!B2&amp;")"</f>
        <v>(9D,A9D)</v>
      </c>
      <c r="L3" s="153" t="s">
        <v>74</v>
      </c>
      <c r="M3" s="697">
        <f ca="1">TODAY()</f>
        <v>45756</v>
      </c>
      <c r="N3" s="697"/>
      <c r="Q3" s="150" t="s">
        <v>182</v>
      </c>
      <c r="R3" s="151"/>
      <c r="S3" s="151"/>
      <c r="T3" s="151"/>
      <c r="U3" s="151"/>
      <c r="V3" s="151"/>
      <c r="W3" s="151"/>
      <c r="X3" s="151"/>
      <c r="Y3" s="151"/>
      <c r="Z3" s="151"/>
    </row>
    <row r="4" spans="1:26" ht="18.75" customHeight="1" x14ac:dyDescent="0.2">
      <c r="A4" s="154"/>
      <c r="M4" s="696"/>
      <c r="N4" s="696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26" ht="18.75" customHeight="1" x14ac:dyDescent="0.2">
      <c r="A5" s="155" t="s">
        <v>157</v>
      </c>
      <c r="B5" s="151" t="s">
        <v>156</v>
      </c>
      <c r="F5" s="627"/>
      <c r="G5" s="627"/>
      <c r="H5" s="627"/>
      <c r="I5" s="627"/>
      <c r="Q5" s="156"/>
      <c r="R5" s="157" t="s">
        <v>169</v>
      </c>
      <c r="S5" s="158"/>
      <c r="T5" s="157" t="s">
        <v>197</v>
      </c>
      <c r="U5" s="159"/>
      <c r="V5" s="158"/>
      <c r="W5" s="160" t="s">
        <v>170</v>
      </c>
      <c r="X5" s="157" t="s">
        <v>190</v>
      </c>
      <c r="Y5" s="159"/>
      <c r="Z5" s="158"/>
    </row>
    <row r="6" spans="1:26" ht="18.75" customHeight="1" x14ac:dyDescent="0.2">
      <c r="A6" s="155"/>
      <c r="Q6" s="161" t="s">
        <v>180</v>
      </c>
      <c r="R6" s="162" t="s">
        <v>195</v>
      </c>
      <c r="S6" s="163"/>
      <c r="T6" s="162" t="s">
        <v>174</v>
      </c>
      <c r="U6" s="164"/>
      <c r="V6" s="163"/>
      <c r="W6" s="165" t="str">
        <f>J26</f>
        <v>補助対象外</v>
      </c>
      <c r="X6" s="162" t="s">
        <v>185</v>
      </c>
      <c r="Y6" s="164"/>
      <c r="Z6" s="166"/>
    </row>
    <row r="7" spans="1:26" ht="18.75" customHeight="1" x14ac:dyDescent="0.2">
      <c r="A7" s="155" t="s">
        <v>160</v>
      </c>
      <c r="B7" s="151" t="s">
        <v>158</v>
      </c>
      <c r="Q7" s="167"/>
      <c r="R7" s="168" t="s">
        <v>175</v>
      </c>
      <c r="S7" s="169"/>
      <c r="T7" s="168" t="s">
        <v>165</v>
      </c>
      <c r="U7" s="170"/>
      <c r="V7" s="169"/>
      <c r="W7" s="171">
        <f>J37</f>
        <v>0</v>
      </c>
      <c r="X7" s="168" t="s">
        <v>240</v>
      </c>
      <c r="Y7" s="170"/>
      <c r="Z7" s="172"/>
    </row>
    <row r="8" spans="1:26" ht="18.75" customHeight="1" thickBot="1" x14ac:dyDescent="0.25">
      <c r="A8" s="155"/>
      <c r="I8" s="642" t="s">
        <v>152</v>
      </c>
      <c r="J8" s="639" t="s">
        <v>151</v>
      </c>
      <c r="K8" s="639"/>
      <c r="L8" s="639"/>
      <c r="Q8" s="151"/>
      <c r="R8" s="151"/>
      <c r="S8" s="151"/>
      <c r="T8" s="151"/>
      <c r="U8" s="691" t="s">
        <v>179</v>
      </c>
      <c r="V8" s="698"/>
      <c r="W8" s="173">
        <f>SUM(W6:W7)</f>
        <v>0</v>
      </c>
      <c r="X8" s="151"/>
      <c r="Y8" s="151"/>
      <c r="Z8"/>
    </row>
    <row r="9" spans="1:26" ht="18.75" customHeight="1" x14ac:dyDescent="0.2">
      <c r="A9" s="155" t="s">
        <v>161</v>
      </c>
      <c r="B9" s="151" t="s">
        <v>159</v>
      </c>
      <c r="F9" s="640">
        <f>'9D･A9D計算シート'!$C$5</f>
        <v>45790</v>
      </c>
      <c r="G9" s="640"/>
      <c r="I9" s="642"/>
      <c r="J9" s="639"/>
      <c r="K9" s="639"/>
      <c r="L9" s="639"/>
      <c r="Q9" s="151"/>
      <c r="R9" s="151"/>
      <c r="S9" s="151"/>
      <c r="T9" s="151"/>
      <c r="U9" s="151"/>
      <c r="V9" s="151"/>
      <c r="W9" s="174"/>
      <c r="X9" s="151"/>
      <c r="Y9" s="151"/>
      <c r="Z9" s="151"/>
    </row>
    <row r="10" spans="1:26" ht="18.75" customHeight="1" x14ac:dyDescent="0.2">
      <c r="A10" s="155"/>
      <c r="J10" s="175" t="s">
        <v>196</v>
      </c>
      <c r="M10" s="147"/>
      <c r="N10" s="1" t="s">
        <v>45</v>
      </c>
      <c r="Q10" s="176" t="s">
        <v>29</v>
      </c>
      <c r="R10" s="177" t="s">
        <v>48</v>
      </c>
      <c r="S10" s="177"/>
      <c r="T10" s="178" t="s">
        <v>205</v>
      </c>
      <c r="U10" s="179"/>
      <c r="V10" s="180"/>
      <c r="W10" s="181">
        <f>IF('9D･A9D計算シート'!$B$24=3,$J$32,0)</f>
        <v>0</v>
      </c>
      <c r="X10" s="178" t="s">
        <v>191</v>
      </c>
      <c r="Y10" s="179"/>
      <c r="Z10" s="182"/>
    </row>
    <row r="11" spans="1:26" ht="18.75" customHeight="1" thickBot="1" x14ac:dyDescent="0.25">
      <c r="A11" s="155" t="s">
        <v>162</v>
      </c>
      <c r="B11" s="151" t="s">
        <v>212</v>
      </c>
      <c r="F11" s="136">
        <v>53</v>
      </c>
      <c r="G11" s="1" t="s">
        <v>50</v>
      </c>
      <c r="J11" s="183" t="str">
        <f>"補助対象宿泊費 (上限"&amp;TEXT(【宿舎費_外部宿舎】,"#,###")&amp;"円／泊)："</f>
        <v>補助対象宿泊費 (上限8,500円／泊)：</v>
      </c>
      <c r="K11"/>
      <c r="M11" s="184">
        <f>IF($M$10&gt;【宿舎費_外部宿舎】,【宿舎費_外部宿舎】,$M$10)</f>
        <v>0</v>
      </c>
      <c r="N11" s="185" t="s">
        <v>45</v>
      </c>
      <c r="Q11" s="186"/>
      <c r="R11" s="151"/>
      <c r="S11" s="151"/>
      <c r="T11" s="151"/>
      <c r="U11" s="691" t="s">
        <v>179</v>
      </c>
      <c r="V11" s="698"/>
      <c r="W11" s="173">
        <f>SUM(W10:W10)</f>
        <v>0</v>
      </c>
      <c r="X11" s="151"/>
      <c r="Y11" s="151"/>
      <c r="Z11"/>
    </row>
    <row r="12" spans="1:26" ht="18.75" customHeight="1" x14ac:dyDescent="0.2">
      <c r="A12" s="155"/>
      <c r="B12" s="151" t="s">
        <v>213</v>
      </c>
      <c r="F12" s="520">
        <f>$F$11+1</f>
        <v>54</v>
      </c>
      <c r="G12" s="1" t="s">
        <v>215</v>
      </c>
      <c r="Q12" s="151"/>
      <c r="R12" s="151"/>
      <c r="S12" s="151"/>
      <c r="T12" s="151"/>
      <c r="U12" s="151"/>
      <c r="V12" s="151"/>
      <c r="W12" s="174"/>
      <c r="X12" s="151"/>
      <c r="Y12" s="151"/>
      <c r="Z12" s="151"/>
    </row>
    <row r="13" spans="1:26" ht="18.75" customHeight="1" x14ac:dyDescent="0.2">
      <c r="A13" s="155"/>
      <c r="B13" s="187" t="s">
        <v>218</v>
      </c>
      <c r="C13" s="1"/>
      <c r="D13" s="188"/>
      <c r="I13" s="189" t="s">
        <v>164</v>
      </c>
      <c r="J13" t="s">
        <v>237</v>
      </c>
      <c r="Q13" s="190" t="s">
        <v>176</v>
      </c>
      <c r="R13" s="190" t="s">
        <v>171</v>
      </c>
      <c r="S13" s="191"/>
      <c r="T13" s="162" t="s">
        <v>172</v>
      </c>
      <c r="U13" s="164"/>
      <c r="V13" s="163"/>
      <c r="W13" s="165">
        <f>J33</f>
        <v>136400</v>
      </c>
      <c r="X13" s="162" t="s">
        <v>173</v>
      </c>
      <c r="Y13" s="164"/>
      <c r="Z13" s="163"/>
    </row>
    <row r="14" spans="1:26" ht="18.75" customHeight="1" x14ac:dyDescent="0.2">
      <c r="A14" s="155"/>
      <c r="B14" s="187" t="s">
        <v>137</v>
      </c>
      <c r="F14" s="3" t="str">
        <f>IF('9D･A9D計算シート'!$C$12=0,"(0日)",TEXT('9D･A9D計算シート'!$C$12,"yyyy/m/d")&amp;"～"&amp;TEXT('9D･A9D計算シート'!$C$14,"yyyy/m/d")&amp;"("&amp;'9D･A9D計算シート'!$C$13&amp;"日)")</f>
        <v>2025/5/23～2025/7/5(44日)</v>
      </c>
      <c r="J14" s="187" t="s">
        <v>123</v>
      </c>
      <c r="K14" s="1"/>
      <c r="L14" s="1"/>
      <c r="M14" s="43"/>
      <c r="N14" s="3" t="s">
        <v>80</v>
      </c>
      <c r="Q14" s="192"/>
      <c r="R14" s="192"/>
      <c r="S14" s="193"/>
      <c r="T14" s="168" t="s">
        <v>2</v>
      </c>
      <c r="U14" s="170"/>
      <c r="V14" s="169"/>
      <c r="W14" s="171">
        <f>J34</f>
        <v>54000</v>
      </c>
      <c r="X14" s="168" t="s">
        <v>173</v>
      </c>
      <c r="Y14" s="170"/>
      <c r="Z14" s="169"/>
    </row>
    <row r="15" spans="1:26" ht="18.75" customHeight="1" thickBot="1" x14ac:dyDescent="0.25">
      <c r="A15" s="155"/>
      <c r="J15" s="187" t="s">
        <v>82</v>
      </c>
      <c r="K15" s="1"/>
      <c r="L15" s="1"/>
      <c r="M15" s="43"/>
      <c r="N15" s="3" t="s">
        <v>80</v>
      </c>
      <c r="Q15" s="151"/>
      <c r="R15" s="151"/>
      <c r="S15" s="151"/>
      <c r="T15" s="151"/>
      <c r="U15" s="691" t="s">
        <v>179</v>
      </c>
      <c r="V15" s="698"/>
      <c r="W15" s="173">
        <f>SUM(W13:W14)</f>
        <v>190400</v>
      </c>
      <c r="X15" s="151"/>
      <c r="Y15" s="151"/>
      <c r="Z15"/>
    </row>
    <row r="16" spans="1:26" ht="18.75" customHeight="1" x14ac:dyDescent="0.2">
      <c r="A16" s="155" t="s">
        <v>163</v>
      </c>
      <c r="B16" s="151" t="s">
        <v>181</v>
      </c>
      <c r="F16" s="641"/>
      <c r="G16" s="641"/>
      <c r="H16" s="151" t="s">
        <v>80</v>
      </c>
      <c r="J16" s="187" t="s">
        <v>81</v>
      </c>
      <c r="K16" s="1"/>
      <c r="L16" s="1"/>
      <c r="M16" s="43"/>
      <c r="N16" s="3" t="s">
        <v>80</v>
      </c>
      <c r="Q16" s="151"/>
      <c r="R16" s="151"/>
      <c r="S16" s="151"/>
      <c r="T16" s="151"/>
      <c r="U16" s="151"/>
      <c r="V16" s="151"/>
      <c r="W16" s="174"/>
      <c r="X16" s="151"/>
      <c r="Y16" s="151"/>
      <c r="Z16" s="151"/>
    </row>
    <row r="17" spans="1:26" ht="18.75" customHeight="1" x14ac:dyDescent="0.2">
      <c r="B17" s="194" t="s">
        <v>290</v>
      </c>
      <c r="L17" s="690" t="s">
        <v>4</v>
      </c>
      <c r="M17" s="673">
        <f>SUM(M14:M16)</f>
        <v>0</v>
      </c>
      <c r="N17" s="674" t="s">
        <v>80</v>
      </c>
      <c r="Q17" s="190" t="s">
        <v>178</v>
      </c>
      <c r="R17" s="190" t="s">
        <v>177</v>
      </c>
      <c r="S17" s="191"/>
      <c r="T17" s="162" t="s">
        <v>9</v>
      </c>
      <c r="U17" s="164"/>
      <c r="V17" s="163"/>
      <c r="W17" s="165">
        <f>J36</f>
        <v>147840</v>
      </c>
      <c r="X17" s="164" t="s">
        <v>186</v>
      </c>
      <c r="Y17" s="164"/>
      <c r="Z17" s="163"/>
    </row>
    <row r="18" spans="1:26" ht="18.75" customHeight="1" x14ac:dyDescent="0.2">
      <c r="A18" s="155"/>
      <c r="B18" s="620" t="s">
        <v>294</v>
      </c>
      <c r="L18" s="690"/>
      <c r="M18" s="673"/>
      <c r="N18" s="674"/>
      <c r="Q18" s="192"/>
      <c r="R18" s="192"/>
      <c r="S18" s="193"/>
      <c r="T18" s="168" t="s">
        <v>206</v>
      </c>
      <c r="U18" s="170"/>
      <c r="V18" s="169"/>
      <c r="W18" s="171">
        <f>IF('9D･A9D計算シート'!$B$24=2,$J$32,0)</f>
        <v>0</v>
      </c>
      <c r="X18" s="168" t="s">
        <v>184</v>
      </c>
      <c r="Y18" s="170"/>
      <c r="Z18" s="172"/>
    </row>
    <row r="19" spans="1:26" ht="18.75" customHeight="1" thickBot="1" x14ac:dyDescent="0.25">
      <c r="M19" s="195"/>
      <c r="N19" s="1" t="s">
        <v>77</v>
      </c>
      <c r="Q19" s="151"/>
      <c r="R19" s="151"/>
      <c r="S19" s="151"/>
      <c r="T19" s="151"/>
      <c r="U19" s="691" t="s">
        <v>179</v>
      </c>
      <c r="V19" s="691"/>
      <c r="W19" s="173">
        <f>SUM(W17:W18)</f>
        <v>147840</v>
      </c>
      <c r="X19" s="151"/>
      <c r="Y19" s="151"/>
      <c r="Z19"/>
    </row>
    <row r="20" spans="1:26" ht="16.5" customHeight="1" x14ac:dyDescent="0.2">
      <c r="I20" s="196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 ht="16.5" customHeight="1" x14ac:dyDescent="0.2">
      <c r="A21" s="150" t="s">
        <v>44</v>
      </c>
      <c r="B21" s="197"/>
      <c r="C21" s="197"/>
      <c r="D21" s="197"/>
      <c r="K21" s="198"/>
      <c r="M21" s="199"/>
    </row>
    <row r="22" spans="1:26" ht="16.5" customHeight="1" x14ac:dyDescent="0.2">
      <c r="A22" s="197"/>
      <c r="B22" s="630" t="s">
        <v>75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</row>
    <row r="23" spans="1:26" ht="16.5" customHeight="1" thickBot="1" x14ac:dyDescent="0.25">
      <c r="B23" s="631"/>
      <c r="C23" s="631"/>
      <c r="D23" s="631"/>
      <c r="E23" s="631"/>
      <c r="F23" s="631"/>
      <c r="G23" s="631"/>
      <c r="H23" s="631"/>
      <c r="I23" s="631"/>
      <c r="J23" s="631"/>
      <c r="K23" s="631"/>
      <c r="L23" s="631"/>
      <c r="M23" s="631"/>
      <c r="N23" s="631"/>
    </row>
    <row r="24" spans="1:26" ht="16.5" customHeight="1" x14ac:dyDescent="0.2">
      <c r="B24" s="664" t="s">
        <v>198</v>
      </c>
      <c r="C24" s="665"/>
      <c r="D24" s="665"/>
      <c r="E24" s="665"/>
      <c r="F24" s="665"/>
      <c r="G24" s="666"/>
      <c r="H24" s="662" t="s">
        <v>31</v>
      </c>
      <c r="I24" s="662" t="s">
        <v>38</v>
      </c>
      <c r="J24" s="660" t="s">
        <v>0</v>
      </c>
      <c r="K24" s="628" t="s">
        <v>127</v>
      </c>
      <c r="L24" s="629"/>
      <c r="M24" s="644" t="s">
        <v>37</v>
      </c>
      <c r="N24" s="645"/>
    </row>
    <row r="25" spans="1:26" ht="16.5" customHeight="1" thickBot="1" x14ac:dyDescent="0.25">
      <c r="B25" s="667"/>
      <c r="C25" s="668"/>
      <c r="D25" s="668"/>
      <c r="E25" s="668"/>
      <c r="F25" s="668"/>
      <c r="G25" s="669"/>
      <c r="H25" s="663"/>
      <c r="I25" s="663"/>
      <c r="J25" s="661"/>
      <c r="K25" s="201" t="s">
        <v>39</v>
      </c>
      <c r="L25" s="202">
        <f>VLOOKUP(【研修申込区分】,【研修申込区分別費用】,3,FALSE)</f>
        <v>0.5</v>
      </c>
      <c r="M25" s="203" t="s">
        <v>40</v>
      </c>
      <c r="N25" s="204">
        <f>VLOOKUP(【研修申込区分】,【研修申込区分別費用】,4,FALSE)</f>
        <v>0.5</v>
      </c>
      <c r="Q25" s="150" t="s">
        <v>219</v>
      </c>
      <c r="R25" s="205"/>
      <c r="S25" s="205"/>
      <c r="T25" s="205"/>
      <c r="U25" s="151"/>
      <c r="V25" s="151"/>
      <c r="W25" s="151"/>
      <c r="X25" s="151"/>
      <c r="Y25" s="151"/>
      <c r="Z25" s="151"/>
    </row>
    <row r="26" spans="1:26" ht="18.75" customHeight="1" x14ac:dyDescent="0.2">
      <c r="B26" s="648" t="s">
        <v>236</v>
      </c>
      <c r="C26" s="151" t="s">
        <v>136</v>
      </c>
      <c r="G26" s="206" t="s">
        <v>0</v>
      </c>
      <c r="H26" s="207"/>
      <c r="I26" s="208" t="s">
        <v>140</v>
      </c>
      <c r="J26" s="522" t="str">
        <f>IF(VLOOKUP(【研修申込区分】,【研修申込区分別費用】,8,FALSE)="対象",$F$16,"補助対象外")</f>
        <v>補助対象外</v>
      </c>
      <c r="K26" s="675" t="str">
        <f>IF(VLOOKUP(【研修申込区分】,【研修申込区分別費用】,8,FALSE)="対象",ROUNDDOWN(J26*$L$25,0),"補助対象外")</f>
        <v>補助対象外</v>
      </c>
      <c r="L26" s="676"/>
      <c r="M26" s="681" t="str">
        <f>IF(VLOOKUP(【研修申込区分】,【研修申込区分別費用】,8,FALSE)="対象",ROUNDUP(J26*$N$25,0),"補助対象外")</f>
        <v>補助対象外</v>
      </c>
      <c r="N26" s="682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 ht="18.75" customHeight="1" x14ac:dyDescent="0.2">
      <c r="B27" s="637"/>
      <c r="C27" s="670" t="s">
        <v>26</v>
      </c>
      <c r="D27" s="209" t="s">
        <v>11</v>
      </c>
      <c r="E27" s="179"/>
      <c r="F27" s="179"/>
      <c r="G27" s="210"/>
      <c r="H27" s="211"/>
      <c r="I27" s="212"/>
      <c r="J27" s="212"/>
      <c r="K27" s="677"/>
      <c r="L27" s="678"/>
      <c r="M27" s="678"/>
      <c r="N27" s="683"/>
    </row>
    <row r="28" spans="1:26" ht="18.75" customHeight="1" x14ac:dyDescent="0.2">
      <c r="B28" s="637"/>
      <c r="C28" s="671"/>
      <c r="D28" s="213"/>
      <c r="E28" s="214" t="s">
        <v>10</v>
      </c>
      <c r="F28" s="215"/>
      <c r="G28" s="216" t="s">
        <v>33</v>
      </c>
      <c r="H28" s="217">
        <f>【宿舎費_研修センター】+【食費_夕食】+【食費_朝食】</f>
        <v>10600</v>
      </c>
      <c r="I28" s="218">
        <v>1</v>
      </c>
      <c r="J28" s="219">
        <f t="shared" ref="J28:J36" si="0">H28*I28</f>
        <v>10600</v>
      </c>
      <c r="K28" s="652">
        <f t="shared" ref="K28:K36" si="1">ROUNDDOWN(J28*$L$25,0)</f>
        <v>5300</v>
      </c>
      <c r="L28" s="653"/>
      <c r="M28" s="684">
        <f t="shared" ref="M28:M36" si="2">ROUNDUP(J28*$N$25,0)</f>
        <v>5300</v>
      </c>
      <c r="N28" s="685"/>
      <c r="Q28" s="220" t="s">
        <v>279</v>
      </c>
      <c r="S28" s="221" t="s">
        <v>167</v>
      </c>
      <c r="T28" s="221"/>
      <c r="U28" s="221"/>
      <c r="W28" s="222"/>
      <c r="Y28" s="223"/>
      <c r="Z28" s="223"/>
    </row>
    <row r="29" spans="1:26" ht="18.75" customHeight="1" thickBot="1" x14ac:dyDescent="0.25">
      <c r="B29" s="637"/>
      <c r="C29" s="671"/>
      <c r="D29" s="213"/>
      <c r="E29" s="214" t="s">
        <v>109</v>
      </c>
      <c r="F29" s="215"/>
      <c r="G29" s="224" t="s">
        <v>33</v>
      </c>
      <c r="H29" s="225">
        <f>【宿舎費_研修センター】+【食費_昼食】+【食費_夕食】+【食費_朝食】</f>
        <v>11600</v>
      </c>
      <c r="I29" s="226">
        <f>VLOOKUP('9D･A9D計算シート'!B47,【日程表】,6,FALSE)-I28-I30</f>
        <v>9</v>
      </c>
      <c r="J29" s="227">
        <f t="shared" si="0"/>
        <v>104400</v>
      </c>
      <c r="K29" s="656">
        <f t="shared" si="1"/>
        <v>52200</v>
      </c>
      <c r="L29" s="657"/>
      <c r="M29" s="686">
        <f t="shared" si="2"/>
        <v>52200</v>
      </c>
      <c r="N29" s="687"/>
      <c r="Q29" s="228"/>
      <c r="S29" s="229">
        <f>$J$38</f>
        <v>461580</v>
      </c>
      <c r="T29" s="229"/>
      <c r="U29" s="229"/>
      <c r="W29" s="228"/>
      <c r="Y29" s="223"/>
      <c r="Z29" s="223"/>
    </row>
    <row r="30" spans="1:26" ht="18.75" customHeight="1" x14ac:dyDescent="0.2">
      <c r="B30" s="637"/>
      <c r="C30" s="671"/>
      <c r="D30" s="213"/>
      <c r="E30" s="230" t="s">
        <v>35</v>
      </c>
      <c r="F30" s="231"/>
      <c r="G30" s="232" t="s">
        <v>29</v>
      </c>
      <c r="H30" s="233">
        <v>0</v>
      </c>
      <c r="I30" s="234">
        <v>0</v>
      </c>
      <c r="J30" s="235">
        <f t="shared" si="0"/>
        <v>0</v>
      </c>
      <c r="K30" s="658">
        <f t="shared" si="1"/>
        <v>0</v>
      </c>
      <c r="L30" s="659"/>
      <c r="M30" s="688">
        <f t="shared" si="2"/>
        <v>0</v>
      </c>
      <c r="N30" s="689"/>
      <c r="Q30" s="236"/>
      <c r="S30" s="238" t="s">
        <v>220</v>
      </c>
      <c r="T30" s="239"/>
      <c r="U30" s="240"/>
      <c r="W30" s="241"/>
    </row>
    <row r="31" spans="1:26" ht="18.75" customHeight="1" x14ac:dyDescent="0.2">
      <c r="B31" s="637"/>
      <c r="C31" s="671"/>
      <c r="D31" s="242"/>
      <c r="E31" s="243"/>
      <c r="F31" s="244"/>
      <c r="G31" s="245" t="s">
        <v>36</v>
      </c>
      <c r="H31" s="246">
        <v>0</v>
      </c>
      <c r="I31" s="247">
        <v>0</v>
      </c>
      <c r="J31" s="248">
        <f t="shared" si="0"/>
        <v>0</v>
      </c>
      <c r="K31" s="650">
        <f t="shared" si="1"/>
        <v>0</v>
      </c>
      <c r="L31" s="651"/>
      <c r="M31" s="679">
        <f t="shared" si="2"/>
        <v>0</v>
      </c>
      <c r="N31" s="680"/>
      <c r="Q31" s="249"/>
      <c r="S31" s="250" t="s">
        <v>262</v>
      </c>
      <c r="T31" s="251"/>
      <c r="U31" s="568">
        <f>$J$59-$J$57</f>
        <v>115000</v>
      </c>
      <c r="W31" s="252"/>
    </row>
    <row r="32" spans="1:26" ht="18.75" customHeight="1" x14ac:dyDescent="0.2">
      <c r="B32" s="637"/>
      <c r="C32" s="671"/>
      <c r="D32" s="254" t="s">
        <v>32</v>
      </c>
      <c r="G32" s="255" t="s">
        <v>29</v>
      </c>
      <c r="H32" s="233">
        <f>IF(【実地研修中の宿泊】=1,【宿舎費_研修センター】+【食費_夕食】+【食費_朝食】,IF(【実地研修中の宿泊】=2,【宿舎費_会社施設】,$M$11))</f>
        <v>0</v>
      </c>
      <c r="I32" s="234">
        <f>'9D･A9D計算シート'!$C$13</f>
        <v>44</v>
      </c>
      <c r="J32" s="235">
        <f t="shared" si="0"/>
        <v>0</v>
      </c>
      <c r="K32" s="658">
        <f t="shared" si="1"/>
        <v>0</v>
      </c>
      <c r="L32" s="659"/>
      <c r="M32" s="688">
        <f t="shared" si="2"/>
        <v>0</v>
      </c>
      <c r="N32" s="689"/>
      <c r="Q32" s="256" t="s">
        <v>141</v>
      </c>
      <c r="S32" s="250" t="s">
        <v>263</v>
      </c>
      <c r="T32" s="251"/>
      <c r="U32" s="257">
        <f>$J$57</f>
        <v>8340</v>
      </c>
      <c r="W32" s="252"/>
      <c r="Y32" s="253" t="s">
        <v>183</v>
      </c>
    </row>
    <row r="33" spans="1:26" ht="18.75" customHeight="1" thickBot="1" x14ac:dyDescent="0.25">
      <c r="B33" s="637"/>
      <c r="C33" s="671"/>
      <c r="D33" s="259"/>
      <c r="E33" s="260"/>
      <c r="F33" s="260"/>
      <c r="G33" s="261" t="str">
        <f>IF(【実地研修中の宿泊】=1,"食費(昼食費)","食費")</f>
        <v>食費</v>
      </c>
      <c r="H33" s="246">
        <f>IF(【実地研修中の宿泊】=1,【食費_昼食】,【食費_昼食】+【食費_夕食】+【食費_朝食】)</f>
        <v>3100</v>
      </c>
      <c r="I33" s="247">
        <f>'9D･A9D計算シート'!$C$13</f>
        <v>44</v>
      </c>
      <c r="J33" s="248">
        <f t="shared" si="0"/>
        <v>136400</v>
      </c>
      <c r="K33" s="650">
        <f t="shared" si="1"/>
        <v>68200</v>
      </c>
      <c r="L33" s="651"/>
      <c r="M33" s="679">
        <f t="shared" si="2"/>
        <v>68200</v>
      </c>
      <c r="N33" s="680"/>
      <c r="Q33" s="256"/>
      <c r="S33" s="570"/>
      <c r="T33" s="571"/>
      <c r="U33" s="569">
        <f>SUM(U27:U32)</f>
        <v>123340</v>
      </c>
      <c r="W33" s="252"/>
      <c r="Y33" s="258" t="s">
        <v>144</v>
      </c>
    </row>
    <row r="34" spans="1:26" ht="18.75" customHeight="1" x14ac:dyDescent="0.2">
      <c r="B34" s="637"/>
      <c r="C34" s="672"/>
      <c r="D34" s="214" t="s">
        <v>2</v>
      </c>
      <c r="E34" s="215"/>
      <c r="F34" s="215"/>
      <c r="G34" s="180"/>
      <c r="H34" s="264">
        <f>【雑費】</f>
        <v>1000</v>
      </c>
      <c r="I34" s="265">
        <f>F12</f>
        <v>54</v>
      </c>
      <c r="J34" s="266">
        <f t="shared" si="0"/>
        <v>54000</v>
      </c>
      <c r="K34" s="652">
        <f t="shared" si="1"/>
        <v>27000</v>
      </c>
      <c r="L34" s="653"/>
      <c r="M34" s="684">
        <f t="shared" si="2"/>
        <v>27000</v>
      </c>
      <c r="N34" s="685"/>
      <c r="Q34" s="267">
        <f>$K$38</f>
        <v>230790</v>
      </c>
      <c r="S34" s="262" t="s">
        <v>216</v>
      </c>
      <c r="T34" s="263"/>
      <c r="U34" s="270"/>
      <c r="V34" s="221"/>
      <c r="W34" s="290"/>
      <c r="X34" s="221"/>
      <c r="Y34" s="574"/>
      <c r="Z34" s="575"/>
    </row>
    <row r="35" spans="1:26" ht="18.75" customHeight="1" x14ac:dyDescent="0.2">
      <c r="B35" s="637"/>
      <c r="C35" s="151" t="s">
        <v>259</v>
      </c>
      <c r="D35" s="563"/>
      <c r="E35" s="563"/>
      <c r="F35" s="563"/>
      <c r="G35" s="191"/>
      <c r="H35" s="565" t="s">
        <v>166</v>
      </c>
      <c r="I35" s="564">
        <f>F12</f>
        <v>54</v>
      </c>
      <c r="J35" s="275">
        <f>VLOOKUP("該当",【海外旅行保険】,3,FALSE)</f>
        <v>8340</v>
      </c>
      <c r="K35" s="652">
        <f>ROUNDDOWN(J35*$L$25,0)</f>
        <v>4170</v>
      </c>
      <c r="L35" s="653"/>
      <c r="M35" s="684">
        <f>ROUNDUP(J35*$N$25,0)</f>
        <v>4170</v>
      </c>
      <c r="N35" s="685"/>
      <c r="Q35" s="249" t="str">
        <f>"("&amp;TEXT(VLOOKUP(【研修申込区分】,【研修申込区分別費用】,3,FALSE),"# ?/?")&amp;" )"</f>
        <v>( 1/2 )</v>
      </c>
      <c r="S35" s="268" t="s">
        <v>264</v>
      </c>
      <c r="T35" s="269"/>
      <c r="U35" s="270" t="str">
        <f>$J$26</f>
        <v>補助対象外</v>
      </c>
      <c r="V35" s="221"/>
      <c r="W35" s="290"/>
      <c r="X35" s="221"/>
      <c r="Y35" s="271" t="s">
        <v>142</v>
      </c>
      <c r="Z35" s="272" t="str">
        <f>$U$35</f>
        <v>補助対象外</v>
      </c>
    </row>
    <row r="36" spans="1:26" ht="18.75" customHeight="1" x14ac:dyDescent="0.2">
      <c r="B36" s="637"/>
      <c r="C36" s="273" t="s">
        <v>3</v>
      </c>
      <c r="D36" s="273"/>
      <c r="E36" s="273"/>
      <c r="F36" s="273"/>
      <c r="G36" s="191"/>
      <c r="H36" s="225">
        <f>VLOOKUP(【研修申込区分】,【研修申込区分別費用】,5,FALSE)</f>
        <v>3360</v>
      </c>
      <c r="I36" s="226">
        <f>'9D･A9D計算シート'!$C$13</f>
        <v>44</v>
      </c>
      <c r="J36" s="227">
        <f t="shared" si="0"/>
        <v>147840</v>
      </c>
      <c r="K36" s="656">
        <f t="shared" si="1"/>
        <v>73920</v>
      </c>
      <c r="L36" s="657"/>
      <c r="M36" s="686">
        <f t="shared" si="2"/>
        <v>73920</v>
      </c>
      <c r="N36" s="687"/>
      <c r="Q36" s="572"/>
      <c r="S36" s="268" t="s">
        <v>265</v>
      </c>
      <c r="T36" s="269"/>
      <c r="U36" s="270">
        <f>IF(【実地研修中の宿泊】=1,0,$J$32)</f>
        <v>0</v>
      </c>
      <c r="V36" s="221"/>
      <c r="W36" s="290"/>
      <c r="X36" s="221"/>
      <c r="Y36" s="274" t="s">
        <v>29</v>
      </c>
      <c r="Z36" s="275">
        <f>$U$36</f>
        <v>0</v>
      </c>
    </row>
    <row r="37" spans="1:26" ht="18.75" customHeight="1" thickBot="1" x14ac:dyDescent="0.25">
      <c r="B37" s="649"/>
      <c r="C37" s="276" t="s">
        <v>235</v>
      </c>
      <c r="D37" s="276"/>
      <c r="E37" s="276"/>
      <c r="F37" s="276"/>
      <c r="G37" s="277"/>
      <c r="H37" s="278" t="s">
        <v>166</v>
      </c>
      <c r="I37" s="279" t="s">
        <v>166</v>
      </c>
      <c r="J37" s="280">
        <f>$M$17</f>
        <v>0</v>
      </c>
      <c r="K37" s="654">
        <f t="shared" ref="K37" si="3">ROUNDDOWN(J37*$L$25,0)</f>
        <v>0</v>
      </c>
      <c r="L37" s="655"/>
      <c r="M37" s="692">
        <f t="shared" ref="M37" si="4">ROUNDUP(J37*$N$25,0)</f>
        <v>0</v>
      </c>
      <c r="N37" s="693"/>
      <c r="Q37" s="249"/>
      <c r="S37" s="268" t="s">
        <v>266</v>
      </c>
      <c r="T37" s="269"/>
      <c r="U37" s="270">
        <f>$J$33</f>
        <v>136400</v>
      </c>
      <c r="V37" s="284" t="s">
        <v>211</v>
      </c>
      <c r="W37" s="292"/>
      <c r="X37" s="573"/>
      <c r="Y37" s="271" t="s">
        <v>187</v>
      </c>
      <c r="Z37" s="281">
        <f>$U$37</f>
        <v>136400</v>
      </c>
    </row>
    <row r="38" spans="1:26" ht="18.75" customHeight="1" thickBot="1" x14ac:dyDescent="0.25">
      <c r="B38" s="624" t="s">
        <v>138</v>
      </c>
      <c r="C38" s="625"/>
      <c r="D38" s="625"/>
      <c r="E38" s="625"/>
      <c r="F38" s="625"/>
      <c r="G38" s="625"/>
      <c r="H38" s="625"/>
      <c r="I38" s="626"/>
      <c r="J38" s="282">
        <f>SUM(J26:J37)</f>
        <v>461580</v>
      </c>
      <c r="K38" s="646">
        <f>SUM(K26:K37)</f>
        <v>230790</v>
      </c>
      <c r="L38" s="647"/>
      <c r="M38" s="694">
        <f>SUM(M26:M37)</f>
        <v>230790</v>
      </c>
      <c r="N38" s="695"/>
      <c r="Q38" s="524"/>
      <c r="S38" s="268" t="s">
        <v>267</v>
      </c>
      <c r="T38" s="269"/>
      <c r="U38" s="270">
        <f>$J$34</f>
        <v>54000</v>
      </c>
      <c r="V38" s="290">
        <f>$S$29-$U$33</f>
        <v>338240</v>
      </c>
      <c r="W38" s="221"/>
      <c r="X38" s="285"/>
      <c r="Y38" s="271" t="s">
        <v>188</v>
      </c>
      <c r="Z38" s="281">
        <f>$U$38</f>
        <v>54000</v>
      </c>
    </row>
    <row r="39" spans="1:26" ht="16.5" customHeight="1" x14ac:dyDescent="0.2">
      <c r="A39"/>
      <c r="B39" s="286"/>
      <c r="C39" s="287"/>
      <c r="D39" s="287"/>
      <c r="E39" s="287"/>
      <c r="F39" s="287"/>
      <c r="G39" s="287"/>
      <c r="H39" s="287"/>
      <c r="I39" s="287"/>
      <c r="J39" s="288" t="s">
        <v>83</v>
      </c>
      <c r="K39" s="643" t="s">
        <v>42</v>
      </c>
      <c r="L39" s="643"/>
      <c r="M39" s="643" t="s">
        <v>231</v>
      </c>
      <c r="N39" s="643"/>
      <c r="Q39" s="283" t="s">
        <v>230</v>
      </c>
      <c r="S39" s="268" t="s">
        <v>268</v>
      </c>
      <c r="T39" s="269"/>
      <c r="U39" s="270">
        <f>$J$36</f>
        <v>147840</v>
      </c>
      <c r="V39" s="292"/>
      <c r="W39" s="221"/>
      <c r="X39" s="221"/>
      <c r="Y39" s="271" t="s">
        <v>143</v>
      </c>
      <c r="Z39" s="272">
        <f>$U$39</f>
        <v>147840</v>
      </c>
    </row>
    <row r="40" spans="1:26" ht="16.5" customHeight="1" x14ac:dyDescent="0.2">
      <c r="C40" s="196"/>
      <c r="D40" s="196"/>
      <c r="E40" s="196"/>
      <c r="F40" s="196"/>
      <c r="G40" s="196"/>
      <c r="H40" s="196"/>
      <c r="I40" s="196"/>
      <c r="J40" s="196"/>
      <c r="Q40" s="289">
        <f>$M$38</f>
        <v>230790</v>
      </c>
      <c r="R40" s="237"/>
      <c r="S40" s="268" t="s">
        <v>269</v>
      </c>
      <c r="T40" s="269"/>
      <c r="U40" s="527">
        <f>$M$17</f>
        <v>0</v>
      </c>
      <c r="V40" s="290"/>
      <c r="W40" s="221"/>
      <c r="X40" s="292"/>
      <c r="Y40" s="274" t="s">
        <v>145</v>
      </c>
      <c r="Z40" s="528">
        <f>$M$17</f>
        <v>0</v>
      </c>
    </row>
    <row r="41" spans="1:26" ht="18.75" customHeight="1" thickBot="1" x14ac:dyDescent="0.25">
      <c r="B41" s="630" t="s">
        <v>280</v>
      </c>
      <c r="C41" s="630"/>
      <c r="D41" s="630"/>
      <c r="E41" s="630"/>
      <c r="F41" s="630"/>
      <c r="G41" s="630"/>
      <c r="H41" s="630"/>
      <c r="I41" s="630"/>
      <c r="J41" s="630"/>
      <c r="Q41" s="291" t="str">
        <f>"("&amp;TEXT(VLOOKUP(【研修申込区分】,【研修申込区分別費用】,4,FALSE),"# ?/?")&amp;" )"</f>
        <v>( 1/2 )</v>
      </c>
      <c r="S41" s="525"/>
      <c r="T41" s="526"/>
      <c r="U41" s="567">
        <f>SUM(U35:U40)</f>
        <v>338240</v>
      </c>
      <c r="V41" s="292"/>
      <c r="W41" s="221"/>
      <c r="X41" s="292"/>
      <c r="Y41" s="529"/>
      <c r="Z41" s="530" t="str">
        <f>"( "&amp;TEXT(SUM(Z34:Z40),"#,###0")&amp;")"</f>
        <v>( 338,240)</v>
      </c>
    </row>
    <row r="42" spans="1:26" ht="18.75" customHeight="1" thickBot="1" x14ac:dyDescent="0.25">
      <c r="B42" s="630"/>
      <c r="C42" s="630"/>
      <c r="D42" s="630"/>
      <c r="E42" s="630"/>
      <c r="F42" s="630"/>
      <c r="G42" s="630"/>
      <c r="H42" s="630"/>
      <c r="I42" s="630"/>
      <c r="J42" s="630"/>
      <c r="N42" s="293"/>
      <c r="Q42" s="523" t="s">
        <v>229</v>
      </c>
      <c r="V42" s="295"/>
      <c r="W42" s="221"/>
      <c r="X42" s="292"/>
    </row>
    <row r="43" spans="1:26" ht="18.75" customHeight="1" thickBot="1" x14ac:dyDescent="0.25">
      <c r="C43" s="634" t="s">
        <v>131</v>
      </c>
      <c r="D43" s="635"/>
      <c r="E43" s="635"/>
      <c r="F43" s="635"/>
      <c r="G43" s="636"/>
      <c r="H43" s="296" t="s">
        <v>31</v>
      </c>
      <c r="I43" s="296" t="s">
        <v>38</v>
      </c>
      <c r="J43" s="297" t="s">
        <v>72</v>
      </c>
      <c r="Q43" s="294" t="str">
        <f>G3</f>
        <v>(9D,A9D)</v>
      </c>
      <c r="S43" s="151"/>
      <c r="T43" s="151"/>
      <c r="U43" s="151"/>
      <c r="V43" s="292"/>
      <c r="W43" s="221"/>
      <c r="X43" s="285"/>
      <c r="Y43" s="151"/>
      <c r="Z43" s="151"/>
    </row>
    <row r="44" spans="1:26" ht="18.75" customHeight="1" x14ac:dyDescent="0.2">
      <c r="C44" s="637" t="s">
        <v>274</v>
      </c>
      <c r="D44" s="192" t="s">
        <v>232</v>
      </c>
      <c r="E44" s="299"/>
      <c r="F44" s="299"/>
      <c r="G44" s="299"/>
      <c r="H44" s="299"/>
      <c r="I44" s="299"/>
      <c r="J44" s="300">
        <f>M38</f>
        <v>230790</v>
      </c>
      <c r="Q44" s="298">
        <f>$J$45</f>
        <v>189000</v>
      </c>
      <c r="S44" s="151"/>
      <c r="T44" s="151"/>
      <c r="U44" s="151"/>
      <c r="V44" s="292"/>
      <c r="W44" s="221"/>
      <c r="X44" s="285"/>
      <c r="Y44" s="151"/>
      <c r="Z44" s="151"/>
    </row>
    <row r="45" spans="1:26" ht="18.75" customHeight="1" x14ac:dyDescent="0.2">
      <c r="C45" s="637"/>
      <c r="D45" s="192" t="s">
        <v>228</v>
      </c>
      <c r="E45" s="299"/>
      <c r="F45" s="299"/>
      <c r="G45" s="299"/>
      <c r="H45" s="302">
        <f>VLOOKUP(【研修申込区分】,【研修申込区分別費用】,6,FALSE)</f>
        <v>189000</v>
      </c>
      <c r="I45" s="303">
        <v>1</v>
      </c>
      <c r="J45" s="304">
        <f>H45</f>
        <v>189000</v>
      </c>
      <c r="Q45" s="301"/>
      <c r="S45" s="151"/>
      <c r="T45" s="151"/>
      <c r="U45" s="151"/>
      <c r="V45" s="292"/>
      <c r="W45" s="221"/>
      <c r="X45" s="221"/>
      <c r="Y45" s="151"/>
      <c r="Z45" s="151"/>
    </row>
    <row r="46" spans="1:26" ht="18.75" customHeight="1" thickBot="1" x14ac:dyDescent="0.25">
      <c r="C46" s="638"/>
      <c r="D46" s="305"/>
      <c r="E46" s="197"/>
      <c r="F46" s="197"/>
      <c r="G46" s="306"/>
      <c r="H46" s="307"/>
      <c r="I46" s="308"/>
      <c r="J46" s="309"/>
      <c r="Q46" s="249"/>
      <c r="S46" s="151"/>
      <c r="T46" s="151"/>
      <c r="U46" s="151"/>
      <c r="V46" s="292"/>
      <c r="W46" s="221"/>
      <c r="X46" s="310"/>
      <c r="Y46" s="311">
        <f>Y48+Y52</f>
        <v>419790</v>
      </c>
    </row>
    <row r="47" spans="1:26" ht="18.75" customHeight="1" thickBot="1" x14ac:dyDescent="0.25">
      <c r="C47" s="624" t="s">
        <v>138</v>
      </c>
      <c r="D47" s="625"/>
      <c r="E47" s="625"/>
      <c r="F47" s="625"/>
      <c r="G47" s="625"/>
      <c r="H47" s="625"/>
      <c r="I47" s="626"/>
      <c r="J47" s="312">
        <f>SUM(J44:J46)</f>
        <v>419790</v>
      </c>
      <c r="K47" s="313" t="s">
        <v>207</v>
      </c>
      <c r="Q47" s="256"/>
      <c r="S47" s="151"/>
      <c r="T47" s="151"/>
      <c r="U47" s="151"/>
      <c r="V47" s="292"/>
      <c r="W47" s="221"/>
      <c r="X47" s="292"/>
      <c r="Y47" s="314" t="s">
        <v>233</v>
      </c>
    </row>
    <row r="48" spans="1:26" ht="18.75" customHeight="1" x14ac:dyDescent="0.2">
      <c r="Q48" s="256" t="s">
        <v>141</v>
      </c>
      <c r="S48" s="151"/>
      <c r="T48" s="151"/>
      <c r="U48" s="151"/>
      <c r="V48" s="292" t="s">
        <v>221</v>
      </c>
      <c r="W48" s="221"/>
      <c r="X48" s="292"/>
      <c r="Y48" s="289">
        <f>$Q$40</f>
        <v>230790</v>
      </c>
    </row>
    <row r="49" spans="2:26" ht="18.75" customHeight="1" thickBot="1" x14ac:dyDescent="0.25">
      <c r="B49" s="630" t="s">
        <v>260</v>
      </c>
      <c r="C49" s="630"/>
      <c r="D49" s="630"/>
      <c r="E49" s="630"/>
      <c r="F49" s="630"/>
      <c r="G49" s="630"/>
      <c r="H49" s="630"/>
      <c r="I49" s="630"/>
      <c r="J49" s="630"/>
      <c r="Q49" s="267"/>
      <c r="S49" s="151"/>
      <c r="T49" s="151"/>
      <c r="U49" s="151"/>
      <c r="V49" s="284">
        <f>$Y$48+$Y$52</f>
        <v>419790</v>
      </c>
      <c r="W49" s="221"/>
      <c r="X49" s="310"/>
      <c r="Y49" s="291" t="str">
        <f>$Q$41</f>
        <v>( 1/2 )</v>
      </c>
    </row>
    <row r="50" spans="2:26" ht="18.75" customHeight="1" thickBot="1" x14ac:dyDescent="0.25">
      <c r="B50" s="630"/>
      <c r="C50" s="630"/>
      <c r="D50" s="630"/>
      <c r="E50" s="630"/>
      <c r="F50" s="630"/>
      <c r="G50" s="630"/>
      <c r="H50" s="630"/>
      <c r="I50" s="630"/>
      <c r="J50" s="630"/>
      <c r="N50" s="315"/>
      <c r="Q50" s="249"/>
      <c r="S50" s="151"/>
      <c r="T50" s="151"/>
      <c r="U50" s="151"/>
      <c r="W50" s="151"/>
      <c r="X50" s="151"/>
      <c r="Y50" s="531" t="s">
        <v>229</v>
      </c>
    </row>
    <row r="51" spans="2:26" ht="18.75" customHeight="1" thickBot="1" x14ac:dyDescent="0.25">
      <c r="C51" s="634" t="s">
        <v>130</v>
      </c>
      <c r="D51" s="635"/>
      <c r="E51" s="635"/>
      <c r="F51" s="635"/>
      <c r="G51" s="636"/>
      <c r="H51" s="296" t="s">
        <v>31</v>
      </c>
      <c r="I51" s="296" t="s">
        <v>38</v>
      </c>
      <c r="J51" s="297" t="s">
        <v>0</v>
      </c>
      <c r="N51" s="196"/>
      <c r="Q51" s="316"/>
      <c r="S51" s="151"/>
      <c r="T51" s="151"/>
      <c r="U51" s="151"/>
      <c r="W51" s="151"/>
      <c r="X51" s="151"/>
      <c r="Y51" s="317" t="str">
        <f>$Q$43</f>
        <v>(9D,A9D)</v>
      </c>
    </row>
    <row r="52" spans="2:26" ht="18.75" customHeight="1" thickBot="1" x14ac:dyDescent="0.25">
      <c r="C52" s="632" t="s">
        <v>199</v>
      </c>
      <c r="D52" s="151" t="s">
        <v>11</v>
      </c>
      <c r="G52" s="318"/>
      <c r="H52" s="319"/>
      <c r="J52" s="320"/>
      <c r="N52" s="196"/>
      <c r="Q52" s="151"/>
      <c r="S52" s="151"/>
      <c r="T52" s="151"/>
      <c r="U52" s="151"/>
      <c r="W52" s="151"/>
      <c r="Y52" s="321">
        <f>$Q$44</f>
        <v>189000</v>
      </c>
    </row>
    <row r="53" spans="2:26" ht="18.75" customHeight="1" thickBot="1" x14ac:dyDescent="0.25">
      <c r="C53" s="632"/>
      <c r="E53" s="214" t="s">
        <v>10</v>
      </c>
      <c r="F53" s="215"/>
      <c r="G53" s="322" t="s">
        <v>33</v>
      </c>
      <c r="H53" s="217">
        <f t="shared" ref="H53:I56" si="5">H28</f>
        <v>10600</v>
      </c>
      <c r="I53" s="323">
        <f t="shared" si="5"/>
        <v>1</v>
      </c>
      <c r="J53" s="324">
        <f>H53*I53</f>
        <v>10600</v>
      </c>
      <c r="N53" s="196"/>
      <c r="Q53" s="151"/>
      <c r="S53" s="151"/>
      <c r="T53" s="151"/>
      <c r="U53" s="151"/>
      <c r="W53" s="325" t="s">
        <v>222</v>
      </c>
    </row>
    <row r="54" spans="2:26" ht="18.75" customHeight="1" x14ac:dyDescent="0.2">
      <c r="C54" s="632"/>
      <c r="D54" s="213"/>
      <c r="E54" s="214" t="s">
        <v>34</v>
      </c>
      <c r="F54" s="215"/>
      <c r="G54" s="322" t="s">
        <v>33</v>
      </c>
      <c r="H54" s="217">
        <f t="shared" si="5"/>
        <v>11600</v>
      </c>
      <c r="I54" s="326">
        <f t="shared" si="5"/>
        <v>9</v>
      </c>
      <c r="J54" s="324">
        <f>H54*I54</f>
        <v>104400</v>
      </c>
      <c r="N54" s="196"/>
      <c r="R54" s="591"/>
      <c r="S54" s="593"/>
      <c r="W54" s="236" t="s">
        <v>189</v>
      </c>
    </row>
    <row r="55" spans="2:26" ht="18.75" customHeight="1" thickBot="1" x14ac:dyDescent="0.25">
      <c r="C55" s="632"/>
      <c r="E55" s="209" t="s">
        <v>35</v>
      </c>
      <c r="F55" s="327"/>
      <c r="G55" s="328" t="s">
        <v>29</v>
      </c>
      <c r="H55" s="233">
        <f t="shared" si="5"/>
        <v>0</v>
      </c>
      <c r="I55" s="329">
        <f t="shared" si="5"/>
        <v>0</v>
      </c>
      <c r="J55" s="330">
        <f>H55*I55</f>
        <v>0</v>
      </c>
      <c r="N55" s="196"/>
      <c r="R55" s="591"/>
      <c r="S55" s="593"/>
      <c r="W55" s="331">
        <f>$V$38-$V$49</f>
        <v>-81550</v>
      </c>
    </row>
    <row r="56" spans="2:26" ht="18.75" customHeight="1" x14ac:dyDescent="0.2">
      <c r="C56" s="632"/>
      <c r="D56" s="193"/>
      <c r="E56" s="332"/>
      <c r="F56" s="333"/>
      <c r="G56" s="334" t="s">
        <v>36</v>
      </c>
      <c r="H56" s="246">
        <f t="shared" si="5"/>
        <v>0</v>
      </c>
      <c r="I56" s="335">
        <f t="shared" si="5"/>
        <v>0</v>
      </c>
      <c r="J56" s="336">
        <f>H56*I56</f>
        <v>0</v>
      </c>
      <c r="N56" s="196"/>
      <c r="R56" s="591"/>
      <c r="S56" s="593"/>
      <c r="W56" s="220" t="str">
        <f>IF(W55&lt;0,Y56,Y58)</f>
        <v>企業からAOTSへお支払いいただきます</v>
      </c>
      <c r="Y56" s="337" t="s">
        <v>227</v>
      </c>
    </row>
    <row r="57" spans="2:26" ht="18.75" customHeight="1" x14ac:dyDescent="0.2">
      <c r="C57" s="632"/>
      <c r="D57" s="178" t="s">
        <v>261</v>
      </c>
      <c r="E57" s="215"/>
      <c r="F57" s="215"/>
      <c r="G57" s="322"/>
      <c r="H57" s="566" t="s">
        <v>166</v>
      </c>
      <c r="I57" s="326">
        <f>I35</f>
        <v>54</v>
      </c>
      <c r="J57" s="324">
        <f>J35</f>
        <v>8340</v>
      </c>
      <c r="N57" s="196"/>
      <c r="S57" s="594"/>
      <c r="W57" s="220"/>
      <c r="Y57" s="337"/>
    </row>
    <row r="58" spans="2:26" ht="18.75" customHeight="1" thickBot="1" x14ac:dyDescent="0.25">
      <c r="C58" s="633"/>
      <c r="D58" s="338" t="s">
        <v>32</v>
      </c>
      <c r="E58" s="338"/>
      <c r="F58" s="338"/>
      <c r="G58" s="339" t="s">
        <v>29</v>
      </c>
      <c r="H58" s="340">
        <f>IF(【実地研修中の宿泊】=1,$H$32,0)</f>
        <v>0</v>
      </c>
      <c r="I58" s="341">
        <f>IF(H58=0,0,$I$32)</f>
        <v>0</v>
      </c>
      <c r="J58" s="342">
        <f>H58*I58</f>
        <v>0</v>
      </c>
      <c r="N58" s="196"/>
      <c r="Q58" s="151"/>
      <c r="R58" s="151"/>
      <c r="S58" s="151"/>
      <c r="T58" s="151"/>
      <c r="U58" s="151"/>
      <c r="V58" s="151"/>
      <c r="W58" s="151"/>
      <c r="X58" s="151"/>
      <c r="Y58" s="337" t="s">
        <v>223</v>
      </c>
      <c r="Z58" s="151"/>
    </row>
    <row r="59" spans="2:26" ht="18.75" customHeight="1" thickBot="1" x14ac:dyDescent="0.25">
      <c r="C59" s="624" t="s">
        <v>138</v>
      </c>
      <c r="D59" s="625"/>
      <c r="E59" s="625"/>
      <c r="F59" s="625"/>
      <c r="G59" s="625"/>
      <c r="H59" s="625"/>
      <c r="I59" s="626"/>
      <c r="J59" s="343">
        <f>SUM(J53:J58)</f>
        <v>123340</v>
      </c>
      <c r="K59" s="313" t="s">
        <v>208</v>
      </c>
      <c r="N59" s="315"/>
    </row>
    <row r="60" spans="2:26" ht="16.5" customHeight="1" x14ac:dyDescent="0.2">
      <c r="C60" s="344"/>
      <c r="D60" s="344"/>
      <c r="E60" s="344"/>
      <c r="F60" s="344"/>
      <c r="G60" s="344"/>
      <c r="H60" s="344"/>
      <c r="I60" s="344"/>
      <c r="J60" s="345"/>
      <c r="L60" s="346"/>
      <c r="N60" s="315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2:26" ht="16.5" customHeight="1" x14ac:dyDescent="0.2">
      <c r="B61" s="151" t="s">
        <v>273</v>
      </c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2:26" ht="16.5" customHeight="1" x14ac:dyDescent="0.2"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2:26" ht="17.100000000000001" customHeight="1" x14ac:dyDescent="0.2">
      <c r="X63" s="151"/>
      <c r="Y63" s="151"/>
      <c r="Z63" s="151"/>
    </row>
    <row r="64" spans="2:26" ht="17.100000000000001" customHeight="1" x14ac:dyDescent="0.2">
      <c r="Q64" s="151"/>
      <c r="R64" s="151"/>
      <c r="S64" s="151"/>
      <c r="T64" s="151"/>
      <c r="U64" s="151"/>
      <c r="V64" s="151"/>
      <c r="W64" s="151"/>
      <c r="Z64" s="151"/>
    </row>
    <row r="65" spans="17:26" ht="15" customHeight="1" x14ac:dyDescent="0.2">
      <c r="Q65" s="151"/>
      <c r="R65" s="151"/>
      <c r="S65" s="151"/>
      <c r="T65" s="151"/>
      <c r="U65" s="151"/>
      <c r="V65" s="151"/>
      <c r="W65" s="151"/>
      <c r="X65" s="151"/>
      <c r="Y65" s="151"/>
    </row>
    <row r="66" spans="17:26" ht="13.5" customHeight="1" x14ac:dyDescent="0.2">
      <c r="X66" s="151"/>
      <c r="Y66" s="151"/>
      <c r="Z66" s="151"/>
    </row>
    <row r="67" spans="17:26" ht="13.5" customHeight="1" x14ac:dyDescent="0.2">
      <c r="Z67" s="151"/>
    </row>
  </sheetData>
  <sheetProtection sheet="1" formatCells="0"/>
  <mergeCells count="60">
    <mergeCell ref="M4:N4"/>
    <mergeCell ref="M3:N3"/>
    <mergeCell ref="U11:V11"/>
    <mergeCell ref="U15:V15"/>
    <mergeCell ref="U8:V8"/>
    <mergeCell ref="U19:V19"/>
    <mergeCell ref="M37:N37"/>
    <mergeCell ref="M38:N38"/>
    <mergeCell ref="M32:N32"/>
    <mergeCell ref="M33:N33"/>
    <mergeCell ref="M36:N36"/>
    <mergeCell ref="M34:N34"/>
    <mergeCell ref="M35:N35"/>
    <mergeCell ref="M17:M18"/>
    <mergeCell ref="N17:N18"/>
    <mergeCell ref="K26:L26"/>
    <mergeCell ref="K27:L27"/>
    <mergeCell ref="M31:N31"/>
    <mergeCell ref="K28:L28"/>
    <mergeCell ref="M26:N26"/>
    <mergeCell ref="M27:N27"/>
    <mergeCell ref="M28:N28"/>
    <mergeCell ref="M29:N29"/>
    <mergeCell ref="M30:N30"/>
    <mergeCell ref="K31:L31"/>
    <mergeCell ref="K29:L29"/>
    <mergeCell ref="K30:L30"/>
    <mergeCell ref="L17:L18"/>
    <mergeCell ref="K39:L39"/>
    <mergeCell ref="M24:N24"/>
    <mergeCell ref="B38:I38"/>
    <mergeCell ref="K38:L38"/>
    <mergeCell ref="B26:B37"/>
    <mergeCell ref="K33:L33"/>
    <mergeCell ref="K34:L34"/>
    <mergeCell ref="K37:L37"/>
    <mergeCell ref="K36:L36"/>
    <mergeCell ref="K32:L32"/>
    <mergeCell ref="J24:J25"/>
    <mergeCell ref="I24:I25"/>
    <mergeCell ref="B24:G25"/>
    <mergeCell ref="H24:H25"/>
    <mergeCell ref="C27:C34"/>
    <mergeCell ref="K35:L35"/>
    <mergeCell ref="C59:I59"/>
    <mergeCell ref="C47:I47"/>
    <mergeCell ref="F5:I5"/>
    <mergeCell ref="K24:L24"/>
    <mergeCell ref="B22:N23"/>
    <mergeCell ref="C52:C58"/>
    <mergeCell ref="C51:G51"/>
    <mergeCell ref="C44:C46"/>
    <mergeCell ref="C43:G43"/>
    <mergeCell ref="B41:J42"/>
    <mergeCell ref="B49:J50"/>
    <mergeCell ref="J8:L9"/>
    <mergeCell ref="F9:G9"/>
    <mergeCell ref="F16:G16"/>
    <mergeCell ref="I8:I9"/>
    <mergeCell ref="M39:N39"/>
  </mergeCells>
  <phoneticPr fontId="2"/>
  <conditionalFormatting sqref="M11 M17">
    <cfRule type="cellIs" dxfId="29" priority="2" stopIfTrue="1" operator="equal">
      <formula>0</formula>
    </cfRule>
  </conditionalFormatting>
  <conditionalFormatting sqref="M26:N26">
    <cfRule type="cellIs" dxfId="28" priority="1" operator="greaterThan">
      <formula>0</formula>
    </cfRule>
  </conditionalFormatting>
  <dataValidations xWindow="403" yWindow="205" count="2">
    <dataValidation imeMode="off" allowBlank="1" showInputMessage="1" showErrorMessage="1" sqref="M9:M10 M14:M16 H16 G15 F12" xr:uid="{00000000-0002-0000-0000-000000000000}"/>
    <dataValidation type="date" imeMode="off" operator="greaterThanOrEqual" allowBlank="1" showErrorMessage="1" sqref="M3" xr:uid="{00000000-0002-0000-0000-000001000000}">
      <formula1>1</formula1>
    </dataValidation>
  </dataValidations>
  <printOptions horizontalCentered="1"/>
  <pageMargins left="0.39370078740157483" right="0.35433070866141736" top="0.47244094488188981" bottom="0.27559055118110237" header="0.27559055118110237" footer="0"/>
  <pageSetup paperSize="8" scale="75" orientation="landscape" r:id="rId1"/>
  <headerFooter alignWithMargins="0">
    <oddHeader>&amp;R費用試算（9D, A9D）：2025年度版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30" r:id="rId4" name="Drop Down 82">
              <controlPr defaultSize="0" autoLine="0" autoPict="0">
                <anchor moveWithCells="1">
                  <from>
                    <xdr:col>4</xdr:col>
                    <xdr:colOff>480060</xdr:colOff>
                    <xdr:row>12</xdr:row>
                    <xdr:rowOff>45720</xdr:rowOff>
                  </from>
                  <to>
                    <xdr:col>8</xdr:col>
                    <xdr:colOff>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" name="Drop Down 185">
              <controlPr defaultSize="0" autoLine="0" autoPict="0">
                <anchor moveWithCells="1">
                  <from>
                    <xdr:col>10</xdr:col>
                    <xdr:colOff>289560</xdr:colOff>
                    <xdr:row>7</xdr:row>
                    <xdr:rowOff>121920</xdr:rowOff>
                  </from>
                  <to>
                    <xdr:col>12</xdr:col>
                    <xdr:colOff>45720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6" name="Drop Down 521">
              <controlPr defaultSize="0" autoLine="0" autoPict="0">
                <anchor moveWithCells="1">
                  <from>
                    <xdr:col>4</xdr:col>
                    <xdr:colOff>502920</xdr:colOff>
                    <xdr:row>6</xdr:row>
                    <xdr:rowOff>7620</xdr:rowOff>
                  </from>
                  <to>
                    <xdr:col>12</xdr:col>
                    <xdr:colOff>114300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F50"/>
  <sheetViews>
    <sheetView showGridLines="0" view="pageBreakPreview" topLeftCell="A9" zoomScale="80" zoomScaleNormal="90" zoomScaleSheetLayoutView="80" workbookViewId="0">
      <selection activeCell="N35" sqref="N35"/>
    </sheetView>
  </sheetViews>
  <sheetFormatPr defaultColWidth="9" defaultRowHeight="13.5" customHeight="1" x14ac:dyDescent="0.2"/>
  <cols>
    <col min="1" max="1" width="5.109375" style="151" customWidth="1"/>
    <col min="2" max="2" width="3.44140625" style="151" customWidth="1"/>
    <col min="3" max="3" width="9.6640625" style="151" customWidth="1"/>
    <col min="4" max="4" width="13.6640625" style="151" customWidth="1"/>
    <col min="5" max="5" width="13.6640625" style="151" bestFit="1" customWidth="1"/>
    <col min="6" max="6" width="7.6640625" style="151" customWidth="1"/>
    <col min="7" max="7" width="8.88671875" style="151" customWidth="1"/>
    <col min="8" max="8" width="7.6640625" style="151" customWidth="1"/>
    <col min="9" max="9" width="8.21875" style="151" customWidth="1"/>
    <col min="10" max="10" width="7.6640625" style="151" customWidth="1"/>
    <col min="11" max="11" width="8.33203125" style="151" customWidth="1"/>
    <col min="12" max="12" width="7.6640625" style="151" customWidth="1"/>
    <col min="13" max="13" width="8.33203125" style="151" customWidth="1"/>
    <col min="14" max="14" width="7.6640625" style="151" customWidth="1"/>
    <col min="15" max="15" width="8.33203125" style="151" customWidth="1"/>
    <col min="16" max="16" width="7.6640625" style="151" customWidth="1"/>
    <col min="17" max="17" width="8.21875" style="151" customWidth="1"/>
    <col min="18" max="18" width="7.6640625" style="151" customWidth="1"/>
    <col min="19" max="19" width="8.21875" style="151" customWidth="1"/>
    <col min="20" max="20" width="7.6640625" style="151" customWidth="1"/>
    <col min="21" max="21" width="8.21875" style="151" customWidth="1"/>
    <col min="22" max="22" width="7.6640625" style="151" customWidth="1"/>
    <col min="23" max="23" width="8.21875" style="151" customWidth="1"/>
    <col min="24" max="24" width="7.6640625" style="151" customWidth="1"/>
    <col min="25" max="25" width="8.21875" style="151" customWidth="1"/>
    <col min="26" max="26" width="7.6640625" style="151" customWidth="1"/>
    <col min="27" max="27" width="8.21875" style="151" customWidth="1"/>
    <col min="28" max="28" width="7.6640625" style="151" customWidth="1"/>
    <col min="29" max="29" width="8.21875" style="151" customWidth="1"/>
    <col min="30" max="30" width="7.6640625" style="151" customWidth="1"/>
    <col min="31" max="31" width="8.109375" style="151" customWidth="1"/>
    <col min="32" max="32" width="9.33203125" style="151" bestFit="1" customWidth="1"/>
    <col min="33" max="16384" width="9" style="151"/>
  </cols>
  <sheetData>
    <row r="1" spans="1:32" ht="21" customHeight="1" x14ac:dyDescent="0.2">
      <c r="A1" s="150" t="s">
        <v>114</v>
      </c>
      <c r="E1" s="347" t="s">
        <v>74</v>
      </c>
      <c r="F1" s="752">
        <f ca="1">'9D･A9D費用試算'!M3</f>
        <v>45756</v>
      </c>
      <c r="G1" s="752"/>
    </row>
    <row r="2" spans="1:32" ht="21" customHeight="1" x14ac:dyDescent="0.2"/>
    <row r="3" spans="1:32" ht="21" customHeight="1" x14ac:dyDescent="0.2">
      <c r="E3" s="348" t="s">
        <v>54</v>
      </c>
      <c r="F3" s="1" t="str">
        <f>"一般研修"&amp;'9D･A9D費用試算'!G3</f>
        <v>一般研修(9D,A9D)</v>
      </c>
      <c r="G3" s="1"/>
      <c r="H3" s="1" t="str">
        <f>'9D･A9D計算シート'!$C$7</f>
        <v>2025/05/14～2025/05/22(9日・TKC)</v>
      </c>
    </row>
    <row r="4" spans="1:32" ht="21" customHeight="1" x14ac:dyDescent="0.2">
      <c r="B4" s="753"/>
      <c r="C4" s="753"/>
      <c r="E4" s="1"/>
      <c r="F4" s="1" t="s">
        <v>73</v>
      </c>
      <c r="G4" s="1"/>
      <c r="H4" s="349" t="str">
        <f>IF('9D･A9D計算シート'!$C$13=0,"(0日)",'9D･A9D費用試算'!$F$14)</f>
        <v>2025/5/23～2025/7/5(44日)</v>
      </c>
    </row>
    <row r="5" spans="1:32" ht="13.5" customHeight="1" thickBot="1" x14ac:dyDescent="0.25"/>
    <row r="6" spans="1:32" ht="21" customHeight="1" x14ac:dyDescent="0.2">
      <c r="E6" s="350"/>
      <c r="F6" s="751" t="str">
        <f>IF(F7="","","1ヶ月目")</f>
        <v>1ヶ月目</v>
      </c>
      <c r="G6" s="725"/>
      <c r="H6" s="723" t="str">
        <f>IF(H7="","","2ヶ月目")</f>
        <v>2ヶ月目</v>
      </c>
      <c r="I6" s="725"/>
      <c r="J6" s="723" t="str">
        <f>IF(J7="","","3ヶ月目")</f>
        <v>3ヶ月目</v>
      </c>
      <c r="K6" s="725"/>
      <c r="L6" s="723" t="str">
        <f>IF(L7="","","4ヶ月目")</f>
        <v/>
      </c>
      <c r="M6" s="725"/>
      <c r="N6" s="723" t="str">
        <f>IF(N7="","","5ヶ月目")</f>
        <v/>
      </c>
      <c r="O6" s="725"/>
      <c r="P6" s="723" t="str">
        <f>IF(P7="","","6ヶ月目")</f>
        <v/>
      </c>
      <c r="Q6" s="725"/>
      <c r="R6" s="723" t="str">
        <f>IF(R7="","","7ヶ月目")</f>
        <v/>
      </c>
      <c r="S6" s="725"/>
      <c r="T6" s="723" t="str">
        <f>IF(T7="","","8ヶ月目")</f>
        <v/>
      </c>
      <c r="U6" s="725"/>
      <c r="V6" s="723" t="str">
        <f>IF(V7="","","9ヶ月目")</f>
        <v/>
      </c>
      <c r="W6" s="725"/>
      <c r="X6" s="723" t="str">
        <f>IF(X7="","","10ヶ月目")</f>
        <v/>
      </c>
      <c r="Y6" s="725"/>
      <c r="Z6" s="723" t="str">
        <f>IF(Z7="","","11ヶ月目")</f>
        <v/>
      </c>
      <c r="AA6" s="725"/>
      <c r="AB6" s="723" t="str">
        <f>IF(AB7="","","12ヶ月目")</f>
        <v/>
      </c>
      <c r="AC6" s="725"/>
      <c r="AD6" s="723" t="str">
        <f>IF(AD7="","","13ヶ月目")</f>
        <v/>
      </c>
      <c r="AE6" s="724"/>
      <c r="AF6" s="714" t="s">
        <v>4</v>
      </c>
    </row>
    <row r="7" spans="1:32" ht="21" customHeight="1" x14ac:dyDescent="0.2">
      <c r="E7" s="351" t="s">
        <v>52</v>
      </c>
      <c r="F7" s="731" t="str">
        <f>IF(F10=0,"",YEAR('9D･A9D計算シート'!$R15)&amp;"年"&amp;MONTH('9D･A9D計算シート'!$R15)&amp;"月")</f>
        <v>2025年5月</v>
      </c>
      <c r="G7" s="722"/>
      <c r="H7" s="721" t="str">
        <f>IF(H10=0,"",IF(MONTH('9D･A9D計算シート'!$R15)=12,YEAR('9D･A9D計算シート'!$R16)&amp;"年"&amp;MONTH('9D･A9D計算シート'!$R16)&amp;"月",MONTH('9D･A9D計算シート'!$R16)&amp;"月"))</f>
        <v>6月</v>
      </c>
      <c r="I7" s="722"/>
      <c r="J7" s="721" t="str">
        <f>IF(J10=0,"",IF(MONTH('9D･A9D計算シート'!$R16)=12,YEAR('9D･A9D計算シート'!$R17)&amp;"年"&amp;MONTH('9D･A9D計算シート'!$R17)&amp;"月",MONTH('9D･A9D計算シート'!$R17)&amp;"月"))</f>
        <v>7月</v>
      </c>
      <c r="K7" s="722"/>
      <c r="L7" s="721" t="str">
        <f>IF(L10=0,"",IF(MONTH('9D･A9D計算シート'!$R17)=12,YEAR('9D･A9D計算シート'!$R18)&amp;"年"&amp;MONTH('9D･A9D計算シート'!$R18)&amp;"月",MONTH('9D･A9D計算シート'!$R18)&amp;"月"))</f>
        <v/>
      </c>
      <c r="M7" s="722"/>
      <c r="N7" s="721" t="str">
        <f>IF(N10=0,"",IF(MONTH('9D･A9D計算シート'!$R18)=12,YEAR('9D･A9D計算シート'!$R19)&amp;"年"&amp;MONTH('9D･A9D計算シート'!$R19)&amp;"月",MONTH('9D･A9D計算シート'!$R19)&amp;"月"))</f>
        <v/>
      </c>
      <c r="O7" s="722"/>
      <c r="P7" s="721" t="str">
        <f>IF(P10=0,"",IF(MONTH('9D･A9D計算シート'!$R19)=12,YEAR('9D･A9D計算シート'!$R20)&amp;"年"&amp;MONTH('9D･A9D計算シート'!$R20)&amp;"月",MONTH('9D･A9D計算シート'!$R20)&amp;"月"))</f>
        <v/>
      </c>
      <c r="Q7" s="722"/>
      <c r="R7" s="721" t="str">
        <f>IF(R10=0,"",IF(MONTH('9D･A9D計算シート'!$R20)=12,YEAR('9D･A9D計算シート'!$R21)&amp;"年"&amp;MONTH('9D･A9D計算シート'!$R21)&amp;"月",MONTH('9D･A9D計算シート'!$R21)&amp;"月"))</f>
        <v/>
      </c>
      <c r="S7" s="722"/>
      <c r="T7" s="721" t="str">
        <f>IF(T10=0,"",IF(MONTH('9D･A9D計算シート'!$R21)=12,YEAR('9D･A9D計算シート'!$R22)&amp;"年"&amp;MONTH('9D･A9D計算シート'!$R22)&amp;"月",MONTH('9D･A9D計算シート'!$R22)&amp;"月"))</f>
        <v/>
      </c>
      <c r="U7" s="722"/>
      <c r="V7" s="721" t="str">
        <f>IF(V10=0,"",IF(MONTH('9D･A9D計算シート'!$R22)=12,YEAR('9D･A9D計算シート'!$R23)&amp;"年"&amp;MONTH('9D･A9D計算シート'!$R23)&amp;"月",MONTH('9D･A9D計算シート'!$R23)&amp;"月"))</f>
        <v/>
      </c>
      <c r="W7" s="722"/>
      <c r="X7" s="721" t="str">
        <f>IF(X10=0,"",IF(MONTH('9D･A9D計算シート'!$R23)=12,YEAR('9D･A9D計算シート'!$R24)&amp;"年"&amp;MONTH('9D･A9D計算シート'!$R24)&amp;"月",MONTH('9D･A9D計算シート'!$R24)&amp;"月"))</f>
        <v/>
      </c>
      <c r="Y7" s="722"/>
      <c r="Z7" s="721" t="str">
        <f>IF(Z10=0,"",IF(MONTH('9D･A9D計算シート'!$R24)=12,YEAR('9D･A9D計算シート'!$R25)&amp;"年"&amp;MONTH('9D･A9D計算シート'!$R25)&amp;"月",MONTH('9D･A9D計算シート'!$R25)&amp;"月"))</f>
        <v/>
      </c>
      <c r="AA7" s="722"/>
      <c r="AB7" s="721" t="str">
        <f>IF(AB10=0,"",IF(MONTH('9D･A9D計算シート'!$R25)=12,YEAR('9D･A9D計算シート'!$R26)&amp;"年"&amp;MONTH('9D･A9D計算シート'!$R26)&amp;"月",MONTH('9D･A9D計算シート'!$R26)&amp;"月"))</f>
        <v/>
      </c>
      <c r="AC7" s="722"/>
      <c r="AD7" s="721" t="str">
        <f>IF(AD10=0,"",IF(MONTH('9D･A9D計算シート'!$R26)=12,YEAR('9D･A9D計算シート'!$R27)&amp;"年"&amp;MONTH('9D･A9D計算シート'!$R27)&amp;"月",MONTH('9D･A9D計算シート'!$R27)&amp;"月"))</f>
        <v/>
      </c>
      <c r="AE7" s="722"/>
      <c r="AF7" s="715"/>
    </row>
    <row r="8" spans="1:32" ht="21" customHeight="1" x14ac:dyDescent="0.2">
      <c r="E8" s="352" t="s">
        <v>5</v>
      </c>
      <c r="F8" s="353">
        <f>'9D･A9D計算シート'!V15</f>
        <v>10</v>
      </c>
      <c r="G8" s="354" t="s">
        <v>50</v>
      </c>
      <c r="H8" s="355">
        <f>'9D･A9D計算シート'!V16</f>
        <v>0</v>
      </c>
      <c r="I8" s="354" t="s">
        <v>50</v>
      </c>
      <c r="J8" s="355">
        <f>'9D･A9D計算シート'!V17</f>
        <v>0</v>
      </c>
      <c r="K8" s="354" t="s">
        <v>50</v>
      </c>
      <c r="L8" s="355">
        <f>'9D･A9D計算シート'!V18</f>
        <v>0</v>
      </c>
      <c r="M8" s="354" t="s">
        <v>50</v>
      </c>
      <c r="N8" s="355">
        <f>'9D･A9D計算シート'!V19</f>
        <v>0</v>
      </c>
      <c r="O8" s="354" t="s">
        <v>50</v>
      </c>
      <c r="P8" s="355">
        <f>'9D･A9D計算シート'!V20</f>
        <v>0</v>
      </c>
      <c r="Q8" s="354" t="s">
        <v>50</v>
      </c>
      <c r="R8" s="355">
        <f>'9D･A9D計算シート'!V21</f>
        <v>0</v>
      </c>
      <c r="S8" s="354" t="s">
        <v>50</v>
      </c>
      <c r="T8" s="355">
        <f>'9D･A9D計算シート'!V22</f>
        <v>0</v>
      </c>
      <c r="U8" s="354" t="s">
        <v>50</v>
      </c>
      <c r="V8" s="355">
        <f>'9D･A9D計算シート'!V23</f>
        <v>0</v>
      </c>
      <c r="W8" s="354" t="s">
        <v>50</v>
      </c>
      <c r="X8" s="355">
        <f>'9D･A9D計算シート'!V24</f>
        <v>0</v>
      </c>
      <c r="Y8" s="354" t="s">
        <v>50</v>
      </c>
      <c r="Z8" s="355">
        <f>'9D･A9D計算シート'!V25</f>
        <v>0</v>
      </c>
      <c r="AA8" s="354" t="s">
        <v>50</v>
      </c>
      <c r="AB8" s="355">
        <f>'9D･A9D計算シート'!V26</f>
        <v>0</v>
      </c>
      <c r="AC8" s="354" t="s">
        <v>50</v>
      </c>
      <c r="AD8" s="355">
        <f>'9D･A9D計算シート'!V27</f>
        <v>0</v>
      </c>
      <c r="AE8" s="25" t="s">
        <v>50</v>
      </c>
      <c r="AF8" s="356">
        <f>SUM(F8:AE8)</f>
        <v>10</v>
      </c>
    </row>
    <row r="9" spans="1:32" ht="21" customHeight="1" x14ac:dyDescent="0.2">
      <c r="E9" s="357" t="s">
        <v>6</v>
      </c>
      <c r="F9" s="358">
        <f>'9D･A9D計算シート'!W15</f>
        <v>9</v>
      </c>
      <c r="G9" s="359" t="s">
        <v>50</v>
      </c>
      <c r="H9" s="360">
        <f>'9D･A9D計算シート'!W16</f>
        <v>30</v>
      </c>
      <c r="I9" s="359" t="s">
        <v>50</v>
      </c>
      <c r="J9" s="360">
        <f>'9D･A9D計算シート'!W17</f>
        <v>5</v>
      </c>
      <c r="K9" s="359" t="s">
        <v>50</v>
      </c>
      <c r="L9" s="360">
        <f>'9D･A9D計算シート'!W18</f>
        <v>0</v>
      </c>
      <c r="M9" s="359" t="s">
        <v>50</v>
      </c>
      <c r="N9" s="360">
        <f>'9D･A9D計算シート'!W19</f>
        <v>0</v>
      </c>
      <c r="O9" s="359" t="s">
        <v>50</v>
      </c>
      <c r="P9" s="360">
        <f>'9D･A9D計算シート'!W20</f>
        <v>0</v>
      </c>
      <c r="Q9" s="359" t="s">
        <v>50</v>
      </c>
      <c r="R9" s="360">
        <f>'9D･A9D計算シート'!W21</f>
        <v>0</v>
      </c>
      <c r="S9" s="359" t="s">
        <v>50</v>
      </c>
      <c r="T9" s="360">
        <f>'9D･A9D計算シート'!W22</f>
        <v>0</v>
      </c>
      <c r="U9" s="359" t="s">
        <v>50</v>
      </c>
      <c r="V9" s="360">
        <f>'9D･A9D計算シート'!W23</f>
        <v>0</v>
      </c>
      <c r="W9" s="359" t="s">
        <v>50</v>
      </c>
      <c r="X9" s="360">
        <f>'9D･A9D計算シート'!W24</f>
        <v>0</v>
      </c>
      <c r="Y9" s="359" t="s">
        <v>50</v>
      </c>
      <c r="Z9" s="360">
        <f>'9D･A9D計算シート'!W25</f>
        <v>0</v>
      </c>
      <c r="AA9" s="359" t="s">
        <v>50</v>
      </c>
      <c r="AB9" s="360">
        <f>'9D･A9D計算シート'!W26</f>
        <v>0</v>
      </c>
      <c r="AC9" s="359" t="s">
        <v>50</v>
      </c>
      <c r="AD9" s="360">
        <f>'9D･A9D計算シート'!W27</f>
        <v>0</v>
      </c>
      <c r="AE9" s="361" t="s">
        <v>50</v>
      </c>
      <c r="AF9" s="362">
        <f>SUM(F9:AE9)</f>
        <v>44</v>
      </c>
    </row>
    <row r="10" spans="1:32" ht="21" customHeight="1" thickBot="1" x14ac:dyDescent="0.25">
      <c r="E10" s="363" t="s">
        <v>25</v>
      </c>
      <c r="F10" s="364">
        <f>'9D･A9D計算シート'!U15</f>
        <v>19</v>
      </c>
      <c r="G10" s="365" t="s">
        <v>50</v>
      </c>
      <c r="H10" s="366">
        <f>'9D･A9D計算シート'!U16</f>
        <v>30</v>
      </c>
      <c r="I10" s="365" t="s">
        <v>50</v>
      </c>
      <c r="J10" s="366">
        <f>'9D･A9D計算シート'!U17</f>
        <v>5</v>
      </c>
      <c r="K10" s="365" t="s">
        <v>50</v>
      </c>
      <c r="L10" s="366">
        <f>'9D･A9D計算シート'!U18</f>
        <v>0</v>
      </c>
      <c r="M10" s="365" t="s">
        <v>50</v>
      </c>
      <c r="N10" s="366">
        <f>'9D･A9D計算シート'!U19</f>
        <v>0</v>
      </c>
      <c r="O10" s="365" t="s">
        <v>50</v>
      </c>
      <c r="P10" s="366">
        <f>'9D･A9D計算シート'!U20</f>
        <v>0</v>
      </c>
      <c r="Q10" s="365" t="s">
        <v>50</v>
      </c>
      <c r="R10" s="366">
        <f>'9D･A9D計算シート'!U21</f>
        <v>0</v>
      </c>
      <c r="S10" s="365" t="s">
        <v>50</v>
      </c>
      <c r="T10" s="366">
        <f>'9D･A9D計算シート'!U22</f>
        <v>0</v>
      </c>
      <c r="U10" s="365" t="s">
        <v>50</v>
      </c>
      <c r="V10" s="366">
        <f>'9D･A9D計算シート'!U23</f>
        <v>0</v>
      </c>
      <c r="W10" s="365" t="s">
        <v>50</v>
      </c>
      <c r="X10" s="366">
        <f>'9D･A9D計算シート'!U24</f>
        <v>0</v>
      </c>
      <c r="Y10" s="365" t="s">
        <v>50</v>
      </c>
      <c r="Z10" s="366">
        <f>'9D･A9D計算シート'!U25</f>
        <v>0</v>
      </c>
      <c r="AA10" s="365" t="s">
        <v>50</v>
      </c>
      <c r="AB10" s="366">
        <f>'9D･A9D計算シート'!U26</f>
        <v>0</v>
      </c>
      <c r="AC10" s="365" t="s">
        <v>50</v>
      </c>
      <c r="AD10" s="366">
        <f>'9D･A9D計算シート'!U27</f>
        <v>0</v>
      </c>
      <c r="AE10" s="367" t="s">
        <v>50</v>
      </c>
      <c r="AF10" s="368">
        <f>SUM(F10:AE10)</f>
        <v>54</v>
      </c>
    </row>
    <row r="11" spans="1:32" ht="20.25" customHeight="1" thickBot="1" x14ac:dyDescent="0.25">
      <c r="A11" s="732" t="s">
        <v>1</v>
      </c>
      <c r="B11" s="733"/>
      <c r="C11" s="733"/>
      <c r="D11" s="734"/>
      <c r="E11" s="369" t="s">
        <v>4</v>
      </c>
      <c r="F11" s="370" t="s">
        <v>68</v>
      </c>
      <c r="G11" s="371" t="s">
        <v>30</v>
      </c>
      <c r="H11" s="372" t="s">
        <v>69</v>
      </c>
      <c r="I11" s="371" t="s">
        <v>30</v>
      </c>
      <c r="J11" s="372" t="s">
        <v>69</v>
      </c>
      <c r="K11" s="371" t="s">
        <v>30</v>
      </c>
      <c r="L11" s="372" t="s">
        <v>69</v>
      </c>
      <c r="M11" s="371" t="s">
        <v>30</v>
      </c>
      <c r="N11" s="372" t="s">
        <v>69</v>
      </c>
      <c r="O11" s="371" t="s">
        <v>30</v>
      </c>
      <c r="P11" s="373" t="s">
        <v>69</v>
      </c>
      <c r="Q11" s="371" t="s">
        <v>30</v>
      </c>
      <c r="R11" s="373" t="s">
        <v>69</v>
      </c>
      <c r="S11" s="371" t="s">
        <v>30</v>
      </c>
      <c r="T11" s="373" t="s">
        <v>69</v>
      </c>
      <c r="U11" s="371" t="s">
        <v>30</v>
      </c>
      <c r="V11" s="373" t="s">
        <v>69</v>
      </c>
      <c r="W11" s="371" t="s">
        <v>30</v>
      </c>
      <c r="X11" s="373" t="s">
        <v>69</v>
      </c>
      <c r="Y11" s="371" t="s">
        <v>30</v>
      </c>
      <c r="Z11" s="373" t="s">
        <v>69</v>
      </c>
      <c r="AA11" s="371" t="s">
        <v>30</v>
      </c>
      <c r="AB11" s="373" t="s">
        <v>69</v>
      </c>
      <c r="AC11" s="371" t="s">
        <v>30</v>
      </c>
      <c r="AD11" s="373" t="s">
        <v>69</v>
      </c>
      <c r="AE11" s="371" t="s">
        <v>30</v>
      </c>
      <c r="AF11" s="374" t="s">
        <v>112</v>
      </c>
    </row>
    <row r="12" spans="1:32" ht="22.5" customHeight="1" x14ac:dyDescent="0.2">
      <c r="A12" s="744" t="s">
        <v>224</v>
      </c>
      <c r="B12" s="375" t="s">
        <v>11</v>
      </c>
      <c r="C12" s="376"/>
      <c r="D12" s="377"/>
      <c r="E12" s="378"/>
      <c r="F12" s="379"/>
      <c r="G12" s="380"/>
      <c r="H12" s="381"/>
      <c r="I12" s="380"/>
      <c r="J12" s="381"/>
      <c r="K12" s="380"/>
      <c r="L12" s="381"/>
      <c r="M12" s="380"/>
      <c r="N12" s="381"/>
      <c r="O12" s="380"/>
      <c r="P12" s="381"/>
      <c r="Q12" s="380"/>
      <c r="R12" s="381"/>
      <c r="S12" s="380"/>
      <c r="T12" s="381"/>
      <c r="U12" s="380"/>
      <c r="V12" s="381"/>
      <c r="W12" s="380"/>
      <c r="X12" s="381"/>
      <c r="Y12" s="380"/>
      <c r="Z12" s="381"/>
      <c r="AA12" s="380"/>
      <c r="AB12" s="381"/>
      <c r="AC12" s="380"/>
      <c r="AD12" s="381"/>
      <c r="AE12" s="382"/>
      <c r="AF12" s="383"/>
    </row>
    <row r="13" spans="1:32" ht="30" customHeight="1" x14ac:dyDescent="0.15">
      <c r="A13" s="745"/>
      <c r="B13" s="384"/>
      <c r="C13" s="3" t="s">
        <v>46</v>
      </c>
      <c r="D13" s="385" t="s">
        <v>65</v>
      </c>
      <c r="E13" s="386">
        <f>'9D･A9D費用試算'!$J$53</f>
        <v>10600</v>
      </c>
      <c r="F13" s="387">
        <v>1</v>
      </c>
      <c r="G13" s="388">
        <f>'9D･A9D費用試算'!$H$53</f>
        <v>10600</v>
      </c>
      <c r="H13" s="389"/>
      <c r="I13" s="388"/>
      <c r="J13" s="389"/>
      <c r="K13" s="388"/>
      <c r="L13" s="389"/>
      <c r="M13" s="388"/>
      <c r="N13" s="389"/>
      <c r="O13" s="388"/>
      <c r="P13" s="389"/>
      <c r="Q13" s="388"/>
      <c r="R13" s="389"/>
      <c r="S13" s="388"/>
      <c r="T13" s="389"/>
      <c r="U13" s="388"/>
      <c r="V13" s="389"/>
      <c r="W13" s="388"/>
      <c r="X13" s="389"/>
      <c r="Y13" s="388"/>
      <c r="Z13" s="389"/>
      <c r="AA13" s="388"/>
      <c r="AB13" s="389"/>
      <c r="AC13" s="388"/>
      <c r="AD13" s="390"/>
      <c r="AE13" s="391"/>
      <c r="AF13" s="392">
        <f ca="1">SUMIF($F$11:AE13,"金額",F13:AE13)</f>
        <v>10600</v>
      </c>
    </row>
    <row r="14" spans="1:32" ht="30" customHeight="1" x14ac:dyDescent="0.2">
      <c r="A14" s="745"/>
      <c r="B14" s="384"/>
      <c r="C14" s="393" t="s">
        <v>51</v>
      </c>
      <c r="D14" s="394" t="s">
        <v>66</v>
      </c>
      <c r="E14" s="395">
        <f>'9D･A9D費用試算'!$J$54</f>
        <v>104400</v>
      </c>
      <c r="F14" s="396">
        <f>F8-F13</f>
        <v>9</v>
      </c>
      <c r="G14" s="397">
        <f>'9D･A9D費用試算'!$H$54*F14</f>
        <v>104400</v>
      </c>
      <c r="H14" s="398">
        <f t="shared" ref="H14" si="0">H8-H13</f>
        <v>0</v>
      </c>
      <c r="I14" s="397">
        <f>'9D･A9D費用試算'!$H$54*H14</f>
        <v>0</v>
      </c>
      <c r="J14" s="398">
        <f t="shared" ref="J14" si="1">J8-J13</f>
        <v>0</v>
      </c>
      <c r="K14" s="397">
        <f>'9D･A9D費用試算'!$H$54*J14</f>
        <v>0</v>
      </c>
      <c r="L14" s="398">
        <f t="shared" ref="L14" si="2">L8-L13</f>
        <v>0</v>
      </c>
      <c r="M14" s="397">
        <f>'9D･A9D費用試算'!$H$54*L14</f>
        <v>0</v>
      </c>
      <c r="N14" s="398">
        <f t="shared" ref="N14" si="3">N8-N13</f>
        <v>0</v>
      </c>
      <c r="O14" s="397">
        <f>'9D･A9D費用試算'!$H$54*N14</f>
        <v>0</v>
      </c>
      <c r="P14" s="398">
        <f t="shared" ref="P14" si="4">P8-P13</f>
        <v>0</v>
      </c>
      <c r="Q14" s="397">
        <f>'9D･A9D費用試算'!$H$54*P14</f>
        <v>0</v>
      </c>
      <c r="R14" s="398">
        <f t="shared" ref="R14" si="5">R8-R13</f>
        <v>0</v>
      </c>
      <c r="S14" s="397">
        <f>'9D･A9D費用試算'!$H$54*R14</f>
        <v>0</v>
      </c>
      <c r="T14" s="398">
        <f t="shared" ref="T14" si="6">T8-T13</f>
        <v>0</v>
      </c>
      <c r="U14" s="397">
        <f>'9D･A9D費用試算'!$H$54*T14</f>
        <v>0</v>
      </c>
      <c r="V14" s="398">
        <f t="shared" ref="V14" si="7">V8-V13</f>
        <v>0</v>
      </c>
      <c r="W14" s="397">
        <f>'9D･A9D費用試算'!$H$54*V14</f>
        <v>0</v>
      </c>
      <c r="X14" s="398">
        <f t="shared" ref="X14" si="8">X8-X13</f>
        <v>0</v>
      </c>
      <c r="Y14" s="397">
        <f>'9D･A9D費用試算'!$H$54*X14</f>
        <v>0</v>
      </c>
      <c r="Z14" s="398">
        <f t="shared" ref="Z14" si="9">Z8-Z13</f>
        <v>0</v>
      </c>
      <c r="AA14" s="397">
        <f>'9D･A9D費用試算'!$H$54*Z14</f>
        <v>0</v>
      </c>
      <c r="AB14" s="398">
        <f t="shared" ref="AB14" si="10">AB8-AB13</f>
        <v>0</v>
      </c>
      <c r="AC14" s="397">
        <f>'9D･A9D費用試算'!$H$54*AB14</f>
        <v>0</v>
      </c>
      <c r="AD14" s="399">
        <f t="shared" ref="AD14" si="11">AD8-AD13</f>
        <v>0</v>
      </c>
      <c r="AE14" s="400">
        <f>'9D･A9D費用試算'!$H$54*AD14</f>
        <v>0</v>
      </c>
      <c r="AF14" s="401">
        <f ca="1">SUMIF($F$11:AE14,"金額",F14:AE14)</f>
        <v>104400</v>
      </c>
    </row>
    <row r="15" spans="1:32" ht="22.5" customHeight="1" x14ac:dyDescent="0.2">
      <c r="A15" s="745"/>
      <c r="B15" s="375"/>
      <c r="C15" s="402" t="s">
        <v>111</v>
      </c>
      <c r="D15" s="403" t="s">
        <v>29</v>
      </c>
      <c r="E15" s="386">
        <f>'9D･A9D費用試算'!$J$55</f>
        <v>0</v>
      </c>
      <c r="F15" s="404">
        <f>IF(F6='9D･A9D計算シート'!$P$33,VLOOKUP(F6,【研修旅行】,2,0),IF(F6='9D･A9D計算シート'!P34,VLOOKUP(F6,【研修旅行】,2,0),0))</f>
        <v>0</v>
      </c>
      <c r="G15" s="388">
        <f>IF(F15="","",(F15*'9D･A9D費用試算'!$H$30))</f>
        <v>0</v>
      </c>
      <c r="H15" s="389">
        <f>IF(H6='9D･A9D計算シート'!$P$33,VLOOKUP(H6,【研修旅行】,2,0),IF(H6='9D･A9D計算シート'!N50,VLOOKUP(H6,【研修旅行】,2,0),0))</f>
        <v>0</v>
      </c>
      <c r="I15" s="388">
        <f>IF(H15="","",(H15*'9D･A9D費用試算'!$H$30))</f>
        <v>0</v>
      </c>
      <c r="J15" s="389"/>
      <c r="K15" s="388"/>
      <c r="L15" s="389"/>
      <c r="M15" s="388"/>
      <c r="N15" s="389"/>
      <c r="O15" s="388"/>
      <c r="P15" s="389"/>
      <c r="Q15" s="388"/>
      <c r="R15" s="389"/>
      <c r="S15" s="388"/>
      <c r="T15" s="389"/>
      <c r="U15" s="388"/>
      <c r="V15" s="389"/>
      <c r="W15" s="388"/>
      <c r="X15" s="389"/>
      <c r="Y15" s="388"/>
      <c r="Z15" s="389"/>
      <c r="AA15" s="388"/>
      <c r="AB15" s="389"/>
      <c r="AC15" s="388"/>
      <c r="AD15" s="390"/>
      <c r="AE15" s="391"/>
      <c r="AF15" s="392">
        <f ca="1">SUMIF($F$11:AE15,"金額",F15:AE15)</f>
        <v>0</v>
      </c>
    </row>
    <row r="16" spans="1:32" ht="22.5" customHeight="1" x14ac:dyDescent="0.2">
      <c r="A16" s="745"/>
      <c r="B16" s="375"/>
      <c r="C16" s="578"/>
      <c r="D16" s="405" t="s">
        <v>43</v>
      </c>
      <c r="E16" s="395">
        <f>'9D･A9D費用試算'!$J$56</f>
        <v>0</v>
      </c>
      <c r="F16" s="406">
        <f t="shared" ref="F16" si="12">F15</f>
        <v>0</v>
      </c>
      <c r="G16" s="397">
        <f>IF(F16="","",(F16*'9D･A9D費用試算'!$H$31))</f>
        <v>0</v>
      </c>
      <c r="H16" s="398">
        <f t="shared" ref="H16" si="13">H15</f>
        <v>0</v>
      </c>
      <c r="I16" s="397">
        <f>IF(H16="","",(H16*'9D･A9D費用試算'!$H$31))</f>
        <v>0</v>
      </c>
      <c r="J16" s="398"/>
      <c r="K16" s="397"/>
      <c r="L16" s="398"/>
      <c r="M16" s="397"/>
      <c r="N16" s="398"/>
      <c r="O16" s="397"/>
      <c r="P16" s="398"/>
      <c r="Q16" s="397"/>
      <c r="R16" s="398"/>
      <c r="S16" s="397"/>
      <c r="T16" s="398"/>
      <c r="U16" s="397"/>
      <c r="V16" s="398"/>
      <c r="W16" s="397"/>
      <c r="X16" s="398"/>
      <c r="Y16" s="397"/>
      <c r="Z16" s="398"/>
      <c r="AA16" s="397"/>
      <c r="AB16" s="398"/>
      <c r="AC16" s="397"/>
      <c r="AD16" s="399"/>
      <c r="AE16" s="400"/>
      <c r="AF16" s="401">
        <f ca="1">SUMIF($F$11:AE16,"金額",F16:AE16)</f>
        <v>0</v>
      </c>
    </row>
    <row r="17" spans="1:32" ht="22.5" customHeight="1" x14ac:dyDescent="0.2">
      <c r="A17" s="745"/>
      <c r="B17" s="579" t="s">
        <v>270</v>
      </c>
      <c r="C17" s="179"/>
      <c r="D17" s="580"/>
      <c r="E17" s="576">
        <f>'9D･A9D費用試算'!$J$57</f>
        <v>8340</v>
      </c>
      <c r="F17" s="581"/>
      <c r="G17" s="582" t="str">
        <f>IF(AND(F10&gt;0,SUM($F$10:G10)=$AF$10),'9D･A9D費用試算'!$J$57,"")</f>
        <v/>
      </c>
      <c r="H17" s="583"/>
      <c r="I17" s="582" t="str">
        <f>IF(AND(H10&gt;0,SUM($F$10:I10)=$AF$10),'9D･A9D費用試算'!$J$57,"")</f>
        <v/>
      </c>
      <c r="J17" s="583"/>
      <c r="K17" s="582">
        <f>IF(AND(J10&gt;0,SUM($F$10:K10)=$AF$10),'9D･A9D費用試算'!$J$57,"")</f>
        <v>8340</v>
      </c>
      <c r="L17" s="583"/>
      <c r="M17" s="582" t="str">
        <f>IF(AND(L10&gt;0,SUM($F$10:M10)=$AF$10),'9D･A9D費用試算'!$J$57,"")</f>
        <v/>
      </c>
      <c r="N17" s="583"/>
      <c r="O17" s="582" t="str">
        <f>IF(AND(N10&gt;0,SUM($F$10:O10)=$AF$10),'9D･A9D費用試算'!$J$57,"")</f>
        <v/>
      </c>
      <c r="P17" s="583"/>
      <c r="Q17" s="582" t="str">
        <f>IF(AND(P10&gt;0,SUM($F$10:Q10)=$AF$10),'9D･A9D費用試算'!$J$57,"")</f>
        <v/>
      </c>
      <c r="R17" s="583"/>
      <c r="S17" s="582" t="str">
        <f>IF(AND(R10&gt;0,SUM($F$10:S10)=$AF$10),'9D･A9D費用試算'!$J$57,"")</f>
        <v/>
      </c>
      <c r="T17" s="583"/>
      <c r="U17" s="582" t="str">
        <f>IF(AND(T10&gt;0,SUM($F$10:U10)=$AF$10),'9D･A9D費用試算'!$J$57,"")</f>
        <v/>
      </c>
      <c r="V17" s="583"/>
      <c r="W17" s="582" t="str">
        <f>IF(AND(V10&gt;0,SUM($F$10:W10)=$AF$10),'9D･A9D費用試算'!$J$57,"")</f>
        <v/>
      </c>
      <c r="X17" s="583"/>
      <c r="Y17" s="582" t="str">
        <f>IF(AND(X10&gt;0,SUM($F$10:Y10)=$AF$10),'9D･A9D費用試算'!$J$57,"")</f>
        <v/>
      </c>
      <c r="Z17" s="583"/>
      <c r="AA17" s="582" t="str">
        <f>IF(AND(Z10&gt;0,SUM($F$10:AA10)=$AF$10),'9D･A9D費用試算'!$J$57,"")</f>
        <v/>
      </c>
      <c r="AB17" s="583"/>
      <c r="AC17" s="582" t="str">
        <f>IF(AND(AB10&gt;0,SUM($F$10:AC10)=$AF$10),'9D･A9D費用試算'!$J$57,"")</f>
        <v/>
      </c>
      <c r="AD17" s="447"/>
      <c r="AE17" s="584" t="str">
        <f>IF(AND(AD10&gt;0,SUM($F$10:AE10)=$AF$10),'9D･A9D費用試算'!$J$57,"")</f>
        <v/>
      </c>
      <c r="AF17" s="577">
        <f ca="1">SUMIF($F$11:AE17,"金額",F17:AE17)</f>
        <v>8340</v>
      </c>
    </row>
    <row r="18" spans="1:32" ht="30" customHeight="1" x14ac:dyDescent="0.2">
      <c r="A18" s="745"/>
      <c r="B18" s="6" t="s">
        <v>32</v>
      </c>
      <c r="C18" s="133"/>
      <c r="D18" s="407" t="str">
        <f>IF(【実地研修中の宿泊】=1,"宿舎費+食費
　(朝･夕食費)","宿舎費")</f>
        <v>宿舎費</v>
      </c>
      <c r="E18" s="408">
        <f>'9D･A9D費用試算'!$J$58</f>
        <v>0</v>
      </c>
      <c r="F18" s="409">
        <f>IF(【実地研修中の宿泊】=1,F9,0)</f>
        <v>0</v>
      </c>
      <c r="G18" s="410">
        <f>IF(【実地研修中の宿泊】=1,'9D･A9D費用試算'!$H$32*F18, 0)</f>
        <v>0</v>
      </c>
      <c r="H18" s="409">
        <f>IF(【実地研修中の宿泊】=1,H9,0)</f>
        <v>0</v>
      </c>
      <c r="I18" s="410">
        <f>IF(【実地研修中の宿泊】=1,'9D･A9D費用試算'!$H$32*H18, 0)</f>
        <v>0</v>
      </c>
      <c r="J18" s="409">
        <f>IF(【実地研修中の宿泊】=1,J9,0)</f>
        <v>0</v>
      </c>
      <c r="K18" s="410">
        <f>IF(【実地研修中の宿泊】=1,'9D･A9D費用試算'!$H$32*J18, 0)</f>
        <v>0</v>
      </c>
      <c r="L18" s="409">
        <f>IF(【実地研修中の宿泊】=1,L9,0)</f>
        <v>0</v>
      </c>
      <c r="M18" s="410">
        <f>IF(【実地研修中の宿泊】=1,'9D･A9D費用試算'!$H$32*L18, 0)</f>
        <v>0</v>
      </c>
      <c r="N18" s="409">
        <f>IF(【実地研修中の宿泊】=1,N9,0)</f>
        <v>0</v>
      </c>
      <c r="O18" s="410">
        <f>IF(【実地研修中の宿泊】=1,'9D･A9D費用試算'!$H$32*N18, 0)</f>
        <v>0</v>
      </c>
      <c r="P18" s="409">
        <f>IF(【実地研修中の宿泊】=1,P9,0)</f>
        <v>0</v>
      </c>
      <c r="Q18" s="410">
        <f>IF(【実地研修中の宿泊】=1,'9D･A9D費用試算'!$H$32*P18, 0)</f>
        <v>0</v>
      </c>
      <c r="R18" s="409">
        <f>IF(【実地研修中の宿泊】=1,R9,0)</f>
        <v>0</v>
      </c>
      <c r="S18" s="410">
        <f>IF(【実地研修中の宿泊】=1,'9D･A9D費用試算'!$H$32*R18, 0)</f>
        <v>0</v>
      </c>
      <c r="T18" s="409">
        <f>IF(【実地研修中の宿泊】=1,T9,0)</f>
        <v>0</v>
      </c>
      <c r="U18" s="410">
        <f>IF(【実地研修中の宿泊】=1,'9D･A9D費用試算'!$H$32*T18, 0)</f>
        <v>0</v>
      </c>
      <c r="V18" s="409">
        <f>IF(【実地研修中の宿泊】=1,V9,0)</f>
        <v>0</v>
      </c>
      <c r="W18" s="410">
        <f>IF(【実地研修中の宿泊】=1,'9D･A9D費用試算'!$H$32*V18, 0)</f>
        <v>0</v>
      </c>
      <c r="X18" s="409">
        <f>IF(【実地研修中の宿泊】=1,X9,0)</f>
        <v>0</v>
      </c>
      <c r="Y18" s="410">
        <f>IF(【実地研修中の宿泊】=1,'9D･A9D費用試算'!$H$32*X18, 0)</f>
        <v>0</v>
      </c>
      <c r="Z18" s="409">
        <f>IF(【実地研修中の宿泊】=1,Z9,0)</f>
        <v>0</v>
      </c>
      <c r="AA18" s="410">
        <f>IF(【実地研修中の宿泊】=1,'9D･A9D費用試算'!$H$32*Z18, 0)</f>
        <v>0</v>
      </c>
      <c r="AB18" s="409">
        <f>IF(【実地研修中の宿泊】=1,AB9,0)</f>
        <v>0</v>
      </c>
      <c r="AC18" s="410">
        <f>IF(【実地研修中の宿泊】=1,'9D･A9D費用試算'!$H$32*AB18, 0)</f>
        <v>0</v>
      </c>
      <c r="AD18" s="409">
        <f>IF(【実地研修中の宿泊】=1,AD9,0)</f>
        <v>0</v>
      </c>
      <c r="AE18" s="411">
        <f>IF(【実地研修中の宿泊】=1,'9D･A9D費用試算'!$H$32*AD18, 0)</f>
        <v>0</v>
      </c>
      <c r="AF18" s="412">
        <f ca="1">SUMIF($F$11:AE18,"金額",F18:AE18)</f>
        <v>0</v>
      </c>
    </row>
    <row r="19" spans="1:32" ht="22.5" customHeight="1" thickBot="1" x14ac:dyDescent="0.25">
      <c r="A19" s="746"/>
      <c r="B19" s="738" t="s">
        <v>192</v>
      </c>
      <c r="C19" s="739"/>
      <c r="D19" s="740"/>
      <c r="E19" s="413">
        <f>SUM(E13:E18)</f>
        <v>123340</v>
      </c>
      <c r="F19" s="414"/>
      <c r="G19" s="415">
        <f>SUM(G13:G18)</f>
        <v>115000</v>
      </c>
      <c r="H19" s="416"/>
      <c r="I19" s="415">
        <f>SUM(I13:I18)</f>
        <v>0</v>
      </c>
      <c r="J19" s="416"/>
      <c r="K19" s="415">
        <f>SUM(K13:K18)</f>
        <v>8340</v>
      </c>
      <c r="L19" s="416"/>
      <c r="M19" s="415">
        <f>SUM(M13:M18)</f>
        <v>0</v>
      </c>
      <c r="N19" s="416"/>
      <c r="O19" s="415">
        <f>SUM(O13:O18)</f>
        <v>0</v>
      </c>
      <c r="P19" s="416"/>
      <c r="Q19" s="415">
        <f>SUM(Q13:Q18)</f>
        <v>0</v>
      </c>
      <c r="R19" s="416"/>
      <c r="S19" s="415">
        <f>SUM(S13:S18)</f>
        <v>0</v>
      </c>
      <c r="T19" s="416"/>
      <c r="U19" s="415">
        <f>SUM(U13:U18)</f>
        <v>0</v>
      </c>
      <c r="V19" s="416"/>
      <c r="W19" s="415">
        <f>SUM(W13:W18)</f>
        <v>0</v>
      </c>
      <c r="X19" s="416"/>
      <c r="Y19" s="415">
        <f>SUM(Y13:Y18)</f>
        <v>0</v>
      </c>
      <c r="Z19" s="416"/>
      <c r="AA19" s="415">
        <f>SUM(AA13:AA18)</f>
        <v>0</v>
      </c>
      <c r="AB19" s="416"/>
      <c r="AC19" s="415">
        <f>SUM(AC13:AC18)</f>
        <v>0</v>
      </c>
      <c r="AD19" s="417"/>
      <c r="AE19" s="418">
        <f>SUM(AE13:AE18)</f>
        <v>0</v>
      </c>
      <c r="AF19" s="419">
        <f ca="1">SUMIF($F$11:AE19,"金額",F19:AE19)</f>
        <v>123340</v>
      </c>
    </row>
    <row r="20" spans="1:32" ht="22.5" customHeight="1" x14ac:dyDescent="0.2">
      <c r="A20" s="761" t="s">
        <v>225</v>
      </c>
      <c r="B20" s="420" t="s">
        <v>136</v>
      </c>
      <c r="C20" s="421"/>
      <c r="D20" s="422" t="s">
        <v>139</v>
      </c>
      <c r="E20" s="423" t="str">
        <f>'9D･A9D費用試算'!$J$26</f>
        <v>補助対象外</v>
      </c>
      <c r="F20" s="424"/>
      <c r="G20" s="425" t="str">
        <f>E20</f>
        <v>補助対象外</v>
      </c>
      <c r="H20" s="426"/>
      <c r="I20" s="425"/>
      <c r="J20" s="426"/>
      <c r="K20" s="425"/>
      <c r="L20" s="426"/>
      <c r="M20" s="425"/>
      <c r="N20" s="426"/>
      <c r="O20" s="425"/>
      <c r="P20" s="426"/>
      <c r="Q20" s="425"/>
      <c r="R20" s="426"/>
      <c r="S20" s="425"/>
      <c r="T20" s="426"/>
      <c r="U20" s="425"/>
      <c r="V20" s="426"/>
      <c r="W20" s="425"/>
      <c r="X20" s="426"/>
      <c r="Y20" s="425"/>
      <c r="Z20" s="426"/>
      <c r="AA20" s="425"/>
      <c r="AB20" s="426"/>
      <c r="AC20" s="425"/>
      <c r="AD20" s="426"/>
      <c r="AE20" s="425"/>
      <c r="AF20" s="427">
        <f ca="1">SUMIF($F$11:AE20,"金額",F20:AE20)</f>
        <v>0</v>
      </c>
    </row>
    <row r="21" spans="1:32" ht="22.5" customHeight="1" x14ac:dyDescent="0.2">
      <c r="A21" s="762"/>
      <c r="B21" s="747" t="s">
        <v>26</v>
      </c>
      <c r="C21" s="763" t="s">
        <v>32</v>
      </c>
      <c r="D21" s="428" t="s">
        <v>29</v>
      </c>
      <c r="E21" s="429">
        <f>IF(E18&gt;0,0,'9D･A9D費用試算'!$J$32)</f>
        <v>0</v>
      </c>
      <c r="F21" s="430">
        <f>IF(【実地研修中の宿泊】=1,0,F9)</f>
        <v>9</v>
      </c>
      <c r="G21" s="431">
        <f>IF(【実地研修中の宿泊】=1,0,IF(【実地研修中の宿泊】=2,'9D･A9D費用試算'!$H$32*F21,'9D･A9D費用試算'!$H$32*F21))</f>
        <v>0</v>
      </c>
      <c r="H21" s="390">
        <f>IF(【実地研修中の宿泊】=1,0,H9)</f>
        <v>30</v>
      </c>
      <c r="I21" s="432">
        <f>IF(【実地研修中の宿泊】=1,0,IF(【実地研修中の宿泊】=2,'9D･A9D費用試算'!$H$32*H21,'9D･A9D費用試算'!$H$32*H21))</f>
        <v>0</v>
      </c>
      <c r="J21" s="390">
        <f>IF(【実地研修中の宿泊】=1,0,J9)</f>
        <v>5</v>
      </c>
      <c r="K21" s="432">
        <f>IF(【実地研修中の宿泊】=1,0,IF(【実地研修中の宿泊】=2,'9D･A9D費用試算'!$H$32*J21,'9D･A9D費用試算'!$H$32*J21))</f>
        <v>0</v>
      </c>
      <c r="L21" s="390">
        <f>IF(【実地研修中の宿泊】=1,0,L9)</f>
        <v>0</v>
      </c>
      <c r="M21" s="432">
        <f>IF(【実地研修中の宿泊】=1,0,IF(【実地研修中の宿泊】=2,'9D･A9D費用試算'!$H$32*L21,'9D･A9D費用試算'!$H$32*L21))</f>
        <v>0</v>
      </c>
      <c r="N21" s="390">
        <f>IF(【実地研修中の宿泊】=1,0,N9)</f>
        <v>0</v>
      </c>
      <c r="O21" s="432">
        <f>IF(【実地研修中の宿泊】=1,0,IF(【実地研修中の宿泊】=2,'9D･A9D費用試算'!$H$32*N21,'9D･A9D費用試算'!$H$32*N21))</f>
        <v>0</v>
      </c>
      <c r="P21" s="390">
        <f>IF(【実地研修中の宿泊】=1,0,P9)</f>
        <v>0</v>
      </c>
      <c r="Q21" s="432">
        <f>IF(【実地研修中の宿泊】=1,0,IF(【実地研修中の宿泊】=2,'9D･A9D費用試算'!$H$32*P21,'9D･A9D費用試算'!$H$32*P21))</f>
        <v>0</v>
      </c>
      <c r="R21" s="390">
        <f>IF(【実地研修中の宿泊】=1,0,R9)</f>
        <v>0</v>
      </c>
      <c r="S21" s="432">
        <f>IF(【実地研修中の宿泊】=1,0,IF(【実地研修中の宿泊】=2,'9D･A9D費用試算'!$H$32*R21,'9D･A9D費用試算'!$H$32*R21))</f>
        <v>0</v>
      </c>
      <c r="T21" s="390">
        <f>IF(【実地研修中の宿泊】=1,0,T9)</f>
        <v>0</v>
      </c>
      <c r="U21" s="432">
        <f>IF(【実地研修中の宿泊】=1,0,IF(【実地研修中の宿泊】=2,'9D･A9D費用試算'!$H$32*T21,'9D･A9D費用試算'!$H$32*T21))</f>
        <v>0</v>
      </c>
      <c r="V21" s="390">
        <f>IF(【実地研修中の宿泊】=1,0,V9)</f>
        <v>0</v>
      </c>
      <c r="W21" s="432">
        <f>IF(【実地研修中の宿泊】=1,0,IF(【実地研修中の宿泊】=2,'9D･A9D費用試算'!$H$32*V21,'9D･A9D費用試算'!$H$32*V21))</f>
        <v>0</v>
      </c>
      <c r="X21" s="390">
        <f>IF(【実地研修中の宿泊】=1,0,X9)</f>
        <v>0</v>
      </c>
      <c r="Y21" s="432">
        <f>IF(【実地研修中の宿泊】=1,0,IF(【実地研修中の宿泊】=2,'9D･A9D費用試算'!$H$32*X21,'9D･A9D費用試算'!$H$32*X21))</f>
        <v>0</v>
      </c>
      <c r="Z21" s="390">
        <f>IF(【実地研修中の宿泊】=1,0,Z9)</f>
        <v>0</v>
      </c>
      <c r="AA21" s="432">
        <f>IF(【実地研修中の宿泊】=1,0,IF(【実地研修中の宿泊】=2,'9D･A9D費用試算'!$H$32*Z21,'9D･A9D費用試算'!$H$32*Z21))</f>
        <v>0</v>
      </c>
      <c r="AB21" s="390">
        <f>IF(【実地研修中の宿泊】=1,0,AB9)</f>
        <v>0</v>
      </c>
      <c r="AC21" s="431">
        <f>IF(【実地研修中の宿泊】=1,0,IF(【実地研修中の宿泊】=2,'9D･A9D費用試算'!$H$32*AB21,'9D･A9D費用試算'!$H$32*AB21))</f>
        <v>0</v>
      </c>
      <c r="AD21" s="433">
        <f>IF(【実地研修中の宿泊】=1,0,AD9)</f>
        <v>0</v>
      </c>
      <c r="AE21" s="432">
        <f>IF(【実地研修中の宿泊】=1,0,IF(【実地研修中の宿泊】=2,'9D･A9D費用試算'!$H$32*AD21,'9D･A9D費用試算'!$H$32*AD21))</f>
        <v>0</v>
      </c>
      <c r="AF21" s="434">
        <f ca="1">SUMIF($F$11:AE21,"金額",F21:AE21)</f>
        <v>0</v>
      </c>
    </row>
    <row r="22" spans="1:32" ht="22.5" customHeight="1" x14ac:dyDescent="0.2">
      <c r="A22" s="762"/>
      <c r="B22" s="748"/>
      <c r="C22" s="764"/>
      <c r="D22" s="435" t="str">
        <f>'9D･A9D費用試算'!G33</f>
        <v>食費</v>
      </c>
      <c r="E22" s="436">
        <f>'9D･A9D費用試算'!$J$33</f>
        <v>136400</v>
      </c>
      <c r="F22" s="437">
        <f>F9</f>
        <v>9</v>
      </c>
      <c r="G22" s="438">
        <f>'9D･A9D費用試算'!$H$33*F22</f>
        <v>27900</v>
      </c>
      <c r="H22" s="399">
        <f t="shared" ref="H22" si="14">H9</f>
        <v>30</v>
      </c>
      <c r="I22" s="439">
        <f>'9D･A9D費用試算'!$H$33*H22</f>
        <v>93000</v>
      </c>
      <c r="J22" s="399">
        <f t="shared" ref="J22" si="15">J9</f>
        <v>5</v>
      </c>
      <c r="K22" s="439">
        <f>'9D･A9D費用試算'!$H$33*J22</f>
        <v>15500</v>
      </c>
      <c r="L22" s="399">
        <f t="shared" ref="L22" si="16">L9</f>
        <v>0</v>
      </c>
      <c r="M22" s="439">
        <f>'9D･A9D費用試算'!$H$33*L22</f>
        <v>0</v>
      </c>
      <c r="N22" s="399">
        <f t="shared" ref="N22" si="17">N9</f>
        <v>0</v>
      </c>
      <c r="O22" s="439">
        <f>'9D･A9D費用試算'!$H$33*N22</f>
        <v>0</v>
      </c>
      <c r="P22" s="399">
        <f t="shared" ref="P22" si="18">P9</f>
        <v>0</v>
      </c>
      <c r="Q22" s="439">
        <f>'9D･A9D費用試算'!$H$33*P22</f>
        <v>0</v>
      </c>
      <c r="R22" s="399">
        <f t="shared" ref="R22" si="19">R9</f>
        <v>0</v>
      </c>
      <c r="S22" s="439">
        <f>'9D･A9D費用試算'!$H$33*R22</f>
        <v>0</v>
      </c>
      <c r="T22" s="399">
        <f t="shared" ref="T22" si="20">T9</f>
        <v>0</v>
      </c>
      <c r="U22" s="439">
        <f>'9D･A9D費用試算'!$H$33*T22</f>
        <v>0</v>
      </c>
      <c r="V22" s="399">
        <f t="shared" ref="V22" si="21">V9</f>
        <v>0</v>
      </c>
      <c r="W22" s="439">
        <f>'9D･A9D費用試算'!$H$33*V22</f>
        <v>0</v>
      </c>
      <c r="X22" s="399">
        <f t="shared" ref="X22" si="22">X9</f>
        <v>0</v>
      </c>
      <c r="Y22" s="439">
        <f>'9D･A9D費用試算'!$H$33*X22</f>
        <v>0</v>
      </c>
      <c r="Z22" s="399">
        <f t="shared" ref="Z22" si="23">Z9</f>
        <v>0</v>
      </c>
      <c r="AA22" s="439">
        <f>'9D･A9D費用試算'!$H$33*Z22</f>
        <v>0</v>
      </c>
      <c r="AB22" s="399">
        <f t="shared" ref="AB22" si="24">AB9</f>
        <v>0</v>
      </c>
      <c r="AC22" s="438">
        <f>'9D･A9D費用試算'!$H$33*AB22</f>
        <v>0</v>
      </c>
      <c r="AD22" s="440">
        <f t="shared" ref="AD22" si="25">AD9</f>
        <v>0</v>
      </c>
      <c r="AE22" s="439">
        <f>'9D･A9D費用試算'!$H$33*AD22</f>
        <v>0</v>
      </c>
      <c r="AF22" s="441">
        <f ca="1">SUMIF($F$11:AE22,"金額",F22:AE22)</f>
        <v>136400</v>
      </c>
    </row>
    <row r="23" spans="1:32" ht="22.5" customHeight="1" x14ac:dyDescent="0.2">
      <c r="A23" s="762"/>
      <c r="B23" s="749"/>
      <c r="C23" s="442" t="s">
        <v>2</v>
      </c>
      <c r="D23" s="443"/>
      <c r="E23" s="444">
        <f>'9D･A9D費用試算'!$J$34</f>
        <v>54000</v>
      </c>
      <c r="F23" s="445">
        <f>F10</f>
        <v>19</v>
      </c>
      <c r="G23" s="446">
        <f>'9D･A9D費用試算'!$H$34*F23</f>
        <v>19000</v>
      </c>
      <c r="H23" s="447">
        <f>H10</f>
        <v>30</v>
      </c>
      <c r="I23" s="446">
        <f>'9D･A9D費用試算'!$H$34*H23</f>
        <v>30000</v>
      </c>
      <c r="J23" s="447">
        <f>J10</f>
        <v>5</v>
      </c>
      <c r="K23" s="446">
        <f>'9D･A9D費用試算'!$H$34*J23</f>
        <v>5000</v>
      </c>
      <c r="L23" s="447">
        <f>L10</f>
        <v>0</v>
      </c>
      <c r="M23" s="446">
        <f>'9D･A9D費用試算'!$H$34*L23</f>
        <v>0</v>
      </c>
      <c r="N23" s="447">
        <f>N10</f>
        <v>0</v>
      </c>
      <c r="O23" s="446">
        <f>'9D･A9D費用試算'!$H$34*N23</f>
        <v>0</v>
      </c>
      <c r="P23" s="447">
        <f>P10</f>
        <v>0</v>
      </c>
      <c r="Q23" s="446">
        <f>'9D･A9D費用試算'!$H$34*P23</f>
        <v>0</v>
      </c>
      <c r="R23" s="447">
        <f>R10</f>
        <v>0</v>
      </c>
      <c r="S23" s="446">
        <f>'9D･A9D費用試算'!$H$34*R23</f>
        <v>0</v>
      </c>
      <c r="T23" s="447">
        <f>T10</f>
        <v>0</v>
      </c>
      <c r="U23" s="446">
        <f>'9D･A9D費用試算'!$H$34*T23</f>
        <v>0</v>
      </c>
      <c r="V23" s="447">
        <f>V10</f>
        <v>0</v>
      </c>
      <c r="W23" s="446">
        <f>'9D･A9D費用試算'!$H$34*V23</f>
        <v>0</v>
      </c>
      <c r="X23" s="447">
        <f>X10</f>
        <v>0</v>
      </c>
      <c r="Y23" s="446">
        <f>'9D･A9D費用試算'!$H$34*X23</f>
        <v>0</v>
      </c>
      <c r="Z23" s="447">
        <f>Z10</f>
        <v>0</v>
      </c>
      <c r="AA23" s="446">
        <f>'9D･A9D費用試算'!$H$34*Z23</f>
        <v>0</v>
      </c>
      <c r="AB23" s="447">
        <f>AB10</f>
        <v>0</v>
      </c>
      <c r="AC23" s="446">
        <f>'9D･A9D費用試算'!$H$34*AB23</f>
        <v>0</v>
      </c>
      <c r="AD23" s="447">
        <f>AD10</f>
        <v>0</v>
      </c>
      <c r="AE23" s="446">
        <f>'9D･A9D費用試算'!$H$34*AD23</f>
        <v>0</v>
      </c>
      <c r="AF23" s="448">
        <f ca="1">SUMIF($F$11:AE23,"金額",F23:AE23)</f>
        <v>54000</v>
      </c>
    </row>
    <row r="24" spans="1:32" ht="22.5" customHeight="1" x14ac:dyDescent="0.2">
      <c r="A24" s="762"/>
      <c r="B24" s="449" t="str">
        <f>"実地研修費（@"&amp;TEXT('9D･A9D費用試算'!$H$36,"#,###")&amp;"×"&amp;'9D･A9D計算シート'!$C$13&amp;"日）"</f>
        <v>実地研修費（@3,360×44日）</v>
      </c>
      <c r="C24" s="450"/>
      <c r="D24" s="451"/>
      <c r="E24" s="444">
        <f>'9D･A9D費用試算'!$J$36</f>
        <v>147840</v>
      </c>
      <c r="F24" s="445">
        <f>F9</f>
        <v>9</v>
      </c>
      <c r="G24" s="446">
        <f>'9D･A9D費用試算'!$H$36*F24</f>
        <v>30240</v>
      </c>
      <c r="H24" s="447">
        <f>H9</f>
        <v>30</v>
      </c>
      <c r="I24" s="446">
        <f>'9D･A9D費用試算'!$H$36*H24</f>
        <v>100800</v>
      </c>
      <c r="J24" s="447">
        <f>J9</f>
        <v>5</v>
      </c>
      <c r="K24" s="446">
        <f>'9D･A9D費用試算'!$H$36*J24</f>
        <v>16800</v>
      </c>
      <c r="L24" s="447">
        <f>L9</f>
        <v>0</v>
      </c>
      <c r="M24" s="446">
        <f>'9D･A9D費用試算'!$H$36*L24</f>
        <v>0</v>
      </c>
      <c r="N24" s="447">
        <f>N9</f>
        <v>0</v>
      </c>
      <c r="O24" s="446">
        <f>'9D･A9D費用試算'!$H$36*N24</f>
        <v>0</v>
      </c>
      <c r="P24" s="447">
        <f>P9</f>
        <v>0</v>
      </c>
      <c r="Q24" s="446">
        <f>'9D･A9D費用試算'!$H$36*P24</f>
        <v>0</v>
      </c>
      <c r="R24" s="447">
        <f>R9</f>
        <v>0</v>
      </c>
      <c r="S24" s="446">
        <f>'9D･A9D費用試算'!$H$36*R24</f>
        <v>0</v>
      </c>
      <c r="T24" s="447">
        <f>T9</f>
        <v>0</v>
      </c>
      <c r="U24" s="446">
        <f>'9D･A9D費用試算'!$H$36*T24</f>
        <v>0</v>
      </c>
      <c r="V24" s="447">
        <f>V9</f>
        <v>0</v>
      </c>
      <c r="W24" s="446">
        <f>'9D･A9D費用試算'!$H$36*V24</f>
        <v>0</v>
      </c>
      <c r="X24" s="447">
        <f>X9</f>
        <v>0</v>
      </c>
      <c r="Y24" s="446">
        <f>'9D･A9D費用試算'!$H$36*X24</f>
        <v>0</v>
      </c>
      <c r="Z24" s="447">
        <f>Z9</f>
        <v>0</v>
      </c>
      <c r="AA24" s="446">
        <f>'9D･A9D費用試算'!$H$36*Z24</f>
        <v>0</v>
      </c>
      <c r="AB24" s="447">
        <f>AB9</f>
        <v>0</v>
      </c>
      <c r="AC24" s="446">
        <f>'9D･A9D費用試算'!$H$36*AB24</f>
        <v>0</v>
      </c>
      <c r="AD24" s="447">
        <f>AD9</f>
        <v>0</v>
      </c>
      <c r="AE24" s="452">
        <f>'9D･A9D費用試算'!$H$36*AD24</f>
        <v>0</v>
      </c>
      <c r="AF24" s="448">
        <f ca="1">SUMIF($F$11:AE24,"金額",F24:AE24)</f>
        <v>147840</v>
      </c>
    </row>
    <row r="25" spans="1:32" ht="22.5" customHeight="1" x14ac:dyDescent="0.2">
      <c r="A25" s="762"/>
      <c r="B25" s="375" t="s">
        <v>238</v>
      </c>
      <c r="C25" s="1"/>
      <c r="D25" s="443"/>
      <c r="E25" s="455">
        <f>'9D･A9D費用試算'!$J$37</f>
        <v>0</v>
      </c>
      <c r="F25" s="536"/>
      <c r="G25" s="537">
        <f ca="1">SUMIF(【国内移動費】,F$6,'9D･A9D計算シート'!$M$5:$M$7)</f>
        <v>0</v>
      </c>
      <c r="H25" s="538"/>
      <c r="I25" s="537">
        <f ca="1">SUMIF(【国内移動費】,H$6,'9D･A9D計算シート'!$M$5:$M$7)</f>
        <v>0</v>
      </c>
      <c r="J25" s="538"/>
      <c r="K25" s="537">
        <f ca="1">SUMIF(【国内移動費】,J$6,'9D･A9D計算シート'!$M$5:$M$7)</f>
        <v>0</v>
      </c>
      <c r="L25" s="538"/>
      <c r="M25" s="537">
        <f ca="1">SUMIF(【国内移動費】,L$6,'9D･A9D計算シート'!$M$5:$M$7)</f>
        <v>0</v>
      </c>
      <c r="N25" s="538"/>
      <c r="O25" s="537">
        <f ca="1">SUMIF(【国内移動費】,N$6,'9D･A9D計算シート'!$M$5:$M$7)</f>
        <v>0</v>
      </c>
      <c r="P25" s="538"/>
      <c r="Q25" s="537">
        <f ca="1">SUMIF(【国内移動費】,P$6,'9D･A9D計算シート'!$M$5:$M$7)</f>
        <v>0</v>
      </c>
      <c r="R25" s="538"/>
      <c r="S25" s="537">
        <f ca="1">SUMIF(【国内移動費】,R$6,'9D･A9D計算シート'!$M$5:$M$7)</f>
        <v>0</v>
      </c>
      <c r="T25" s="538"/>
      <c r="U25" s="537">
        <f ca="1">SUMIF(【国内移動費】,T$6,'9D･A9D計算シート'!$M$5:$M$7)</f>
        <v>0</v>
      </c>
      <c r="V25" s="538"/>
      <c r="W25" s="537">
        <f ca="1">SUMIF(【国内移動費】,V$6,'9D･A9D計算シート'!$M$5:$M$7)</f>
        <v>0</v>
      </c>
      <c r="X25" s="538"/>
      <c r="Y25" s="537">
        <f ca="1">SUMIF(【国内移動費】,X$6,'9D･A9D計算シート'!$M$5:$M$7)</f>
        <v>0</v>
      </c>
      <c r="Z25" s="538"/>
      <c r="AA25" s="537">
        <f ca="1">SUMIF(【国内移動費】,Z$6,'9D･A9D計算シート'!$M$5:$M$7)</f>
        <v>0</v>
      </c>
      <c r="AB25" s="538"/>
      <c r="AC25" s="537">
        <f ca="1">SUMIF(【国内移動費】,AB$6,'9D･A9D計算シート'!$M$5:$M$7)</f>
        <v>0</v>
      </c>
      <c r="AD25" s="538"/>
      <c r="AE25" s="539">
        <f ca="1">SUMIF(【国内移動費】,AD$6,'9D･A9D計算シート'!$M$5:$M$7)</f>
        <v>0</v>
      </c>
      <c r="AF25" s="448">
        <f ca="1">SUMIF($F$11:AE25,"金額",F25:AE25)</f>
        <v>0</v>
      </c>
    </row>
    <row r="26" spans="1:32" ht="22.5" customHeight="1" thickBot="1" x14ac:dyDescent="0.25">
      <c r="A26" s="762"/>
      <c r="B26" s="758" t="s">
        <v>193</v>
      </c>
      <c r="C26" s="759"/>
      <c r="D26" s="760"/>
      <c r="E26" s="540">
        <f>SUM(E20:E25)</f>
        <v>338240</v>
      </c>
      <c r="F26" s="541"/>
      <c r="G26" s="542">
        <f ca="1">SUM(G20:G25)</f>
        <v>77140</v>
      </c>
      <c r="H26" s="543"/>
      <c r="I26" s="542">
        <f ca="1">SUM(I20:I25)</f>
        <v>223800</v>
      </c>
      <c r="J26" s="543"/>
      <c r="K26" s="542">
        <f ca="1">SUM(K20:K25)</f>
        <v>37300</v>
      </c>
      <c r="L26" s="543"/>
      <c r="M26" s="542">
        <f ca="1">SUM(M20:M25)</f>
        <v>0</v>
      </c>
      <c r="N26" s="543"/>
      <c r="O26" s="542">
        <f ca="1">SUM(O20:O25)</f>
        <v>0</v>
      </c>
      <c r="P26" s="543"/>
      <c r="Q26" s="542">
        <f ca="1">SUM(Q20:Q25)</f>
        <v>0</v>
      </c>
      <c r="R26" s="543"/>
      <c r="S26" s="542">
        <f ca="1">SUM(S20:S25)</f>
        <v>0</v>
      </c>
      <c r="T26" s="543"/>
      <c r="U26" s="542">
        <f ca="1">SUM(U20:U25)</f>
        <v>0</v>
      </c>
      <c r="V26" s="543"/>
      <c r="W26" s="542">
        <f ca="1">SUM(W20:W25)</f>
        <v>0</v>
      </c>
      <c r="X26" s="543"/>
      <c r="Y26" s="542">
        <f ca="1">SUM(Y20:Y25)</f>
        <v>0</v>
      </c>
      <c r="Z26" s="543"/>
      <c r="AA26" s="542">
        <f ca="1">SUM(AA20:AA25)</f>
        <v>0</v>
      </c>
      <c r="AB26" s="543"/>
      <c r="AC26" s="542">
        <f ca="1">SUM(AC20:AC25)</f>
        <v>0</v>
      </c>
      <c r="AD26" s="544"/>
      <c r="AE26" s="545">
        <f ca="1">SUM(AE20:AE25)</f>
        <v>0</v>
      </c>
      <c r="AF26" s="546">
        <f t="shared" ref="AF26:AF29" ca="1" si="26">SUM(F26:AE26)</f>
        <v>338240</v>
      </c>
    </row>
    <row r="27" spans="1:32" ht="22.5" customHeight="1" x14ac:dyDescent="0.2">
      <c r="A27" s="754" t="s">
        <v>281</v>
      </c>
      <c r="B27" s="547" t="s">
        <v>234</v>
      </c>
      <c r="C27" s="476"/>
      <c r="D27" s="548" t="str">
        <f>"(①+②)×("&amp;TEXT(VLOOKUP(【研修申込区分】,【研修申込区分別費用】,4,FALSE),"# ?/?")&amp;" )"</f>
        <v>(①+②)×( 1/2 )</v>
      </c>
      <c r="E27" s="549">
        <f>'9D･A9D費用試算'!$J$44</f>
        <v>230790</v>
      </c>
      <c r="F27" s="424"/>
      <c r="G27" s="550">
        <f ca="1">ROUNDUP((G26+G19)*'9D･A9D費用試算'!$N$25,0)</f>
        <v>96070</v>
      </c>
      <c r="H27" s="424"/>
      <c r="I27" s="550">
        <f ca="1">ROUNDUP((I26+I19)*'9D･A9D費用試算'!$N$25,0)</f>
        <v>111900</v>
      </c>
      <c r="J27" s="424"/>
      <c r="K27" s="550">
        <f ca="1">ROUNDUP((K26+K19)*'9D･A9D費用試算'!$N$25,0)</f>
        <v>22820</v>
      </c>
      <c r="L27" s="424"/>
      <c r="M27" s="550">
        <f ca="1">ROUNDUP((M26+M19)*'9D･A9D費用試算'!$N$25,0)</f>
        <v>0</v>
      </c>
      <c r="N27" s="424"/>
      <c r="O27" s="550">
        <f ca="1">ROUNDUP((O26+O19)*'9D･A9D費用試算'!$N$25,0)</f>
        <v>0</v>
      </c>
      <c r="P27" s="424"/>
      <c r="Q27" s="550">
        <f ca="1">ROUNDUP((Q26+Q19)*'9D･A9D費用試算'!$N$25,0)</f>
        <v>0</v>
      </c>
      <c r="R27" s="424"/>
      <c r="S27" s="550">
        <f ca="1">ROUNDUP((S26+S19)*'9D･A9D費用試算'!$N$25,0)</f>
        <v>0</v>
      </c>
      <c r="T27" s="424"/>
      <c r="U27" s="550">
        <f ca="1">ROUNDUP((U26+U19)*'9D･A9D費用試算'!$N$25,0)</f>
        <v>0</v>
      </c>
      <c r="V27" s="424"/>
      <c r="W27" s="550">
        <f ca="1">ROUNDUP((W26+W19)*'9D･A9D費用試算'!$N$25,0)</f>
        <v>0</v>
      </c>
      <c r="X27" s="424"/>
      <c r="Y27" s="550">
        <f ca="1">ROUNDUP((Y26+Y19)*'9D･A9D費用試算'!$N$25,0)</f>
        <v>0</v>
      </c>
      <c r="Z27" s="424"/>
      <c r="AA27" s="550">
        <f ca="1">ROUNDUP((AA26+AA19)*'9D･A9D費用試算'!$N$25,0)</f>
        <v>0</v>
      </c>
      <c r="AB27" s="424"/>
      <c r="AC27" s="550">
        <f ca="1">ROUNDUP((AC26+AC19)*'9D･A9D費用試算'!$N$25,0)</f>
        <v>0</v>
      </c>
      <c r="AD27" s="424"/>
      <c r="AE27" s="550">
        <f ca="1">ROUNDUP((AE26+AE19)*'9D･A9D費用試算'!$N$25,0)</f>
        <v>0</v>
      </c>
      <c r="AF27" s="427">
        <f t="shared" ca="1" si="26"/>
        <v>230790</v>
      </c>
    </row>
    <row r="28" spans="1:32" ht="22.5" customHeight="1" x14ac:dyDescent="0.2">
      <c r="A28" s="755"/>
      <c r="B28" s="456" t="s">
        <v>228</v>
      </c>
      <c r="C28" s="457"/>
      <c r="D28" s="458"/>
      <c r="E28" s="459">
        <f>'9D･A9D費用試算'!$J$45</f>
        <v>189000</v>
      </c>
      <c r="F28" s="460" t="s">
        <v>53</v>
      </c>
      <c r="G28" s="461">
        <f>E28</f>
        <v>189000</v>
      </c>
      <c r="H28" s="462"/>
      <c r="I28" s="461"/>
      <c r="J28" s="462"/>
      <c r="K28" s="461"/>
      <c r="L28" s="462"/>
      <c r="M28" s="461"/>
      <c r="N28" s="462"/>
      <c r="O28" s="461"/>
      <c r="P28" s="462"/>
      <c r="Q28" s="461"/>
      <c r="R28" s="462"/>
      <c r="S28" s="461"/>
      <c r="T28" s="462"/>
      <c r="U28" s="461"/>
      <c r="V28" s="462"/>
      <c r="W28" s="461"/>
      <c r="X28" s="462"/>
      <c r="Y28" s="461"/>
      <c r="Z28" s="462"/>
      <c r="AA28" s="461"/>
      <c r="AB28" s="462"/>
      <c r="AC28" s="461"/>
      <c r="AD28" s="462"/>
      <c r="AE28" s="463"/>
      <c r="AF28" s="464">
        <f t="shared" si="26"/>
        <v>189000</v>
      </c>
    </row>
    <row r="29" spans="1:32" ht="22.5" customHeight="1" thickBot="1" x14ac:dyDescent="0.25">
      <c r="A29" s="756"/>
      <c r="B29" s="735" t="s">
        <v>194</v>
      </c>
      <c r="C29" s="736"/>
      <c r="D29" s="737"/>
      <c r="E29" s="465">
        <f>SUM(E27:E28)</f>
        <v>419790</v>
      </c>
      <c r="F29" s="551"/>
      <c r="G29" s="552">
        <f ca="1">SUM(G27:G28)</f>
        <v>285070</v>
      </c>
      <c r="H29" s="553"/>
      <c r="I29" s="552">
        <f t="shared" ref="I29" ca="1" si="27">SUM(I27:I28)</f>
        <v>111900</v>
      </c>
      <c r="J29" s="553"/>
      <c r="K29" s="552">
        <f t="shared" ref="K29" ca="1" si="28">SUM(K27:K28)</f>
        <v>22820</v>
      </c>
      <c r="L29" s="553"/>
      <c r="M29" s="552">
        <f t="shared" ref="M29" ca="1" si="29">SUM(M27:M28)</f>
        <v>0</v>
      </c>
      <c r="N29" s="553"/>
      <c r="O29" s="552">
        <f t="shared" ref="O29" ca="1" si="30">SUM(O27:O28)</f>
        <v>0</v>
      </c>
      <c r="P29" s="553"/>
      <c r="Q29" s="552">
        <f t="shared" ref="Q29" ca="1" si="31">SUM(Q27:Q28)</f>
        <v>0</v>
      </c>
      <c r="R29" s="553"/>
      <c r="S29" s="552">
        <f t="shared" ref="S29" ca="1" si="32">SUM(S27:S28)</f>
        <v>0</v>
      </c>
      <c r="T29" s="553"/>
      <c r="U29" s="552">
        <f t="shared" ref="U29" ca="1" si="33">SUM(U27:U28)</f>
        <v>0</v>
      </c>
      <c r="V29" s="553"/>
      <c r="W29" s="552">
        <f t="shared" ref="W29" ca="1" si="34">SUM(W27:W28)</f>
        <v>0</v>
      </c>
      <c r="X29" s="553"/>
      <c r="Y29" s="552">
        <f t="shared" ref="Y29" ca="1" si="35">SUM(Y27:Y28)</f>
        <v>0</v>
      </c>
      <c r="Z29" s="553"/>
      <c r="AA29" s="552">
        <f t="shared" ref="AA29" ca="1" si="36">SUM(AA27:AA28)</f>
        <v>0</v>
      </c>
      <c r="AB29" s="553"/>
      <c r="AC29" s="552">
        <f t="shared" ref="AC29" ca="1" si="37">SUM(AC27:AC28)</f>
        <v>0</v>
      </c>
      <c r="AD29" s="553"/>
      <c r="AE29" s="554">
        <f t="shared" ref="AE29" ca="1" si="38">SUM(AE27:AE28)</f>
        <v>0</v>
      </c>
      <c r="AF29" s="466">
        <f t="shared" ca="1" si="26"/>
        <v>419790</v>
      </c>
    </row>
    <row r="30" spans="1:32" ht="27" customHeight="1" thickTop="1" thickBot="1" x14ac:dyDescent="0.25">
      <c r="A30" s="728" t="s">
        <v>239</v>
      </c>
      <c r="B30" s="729"/>
      <c r="C30" s="729"/>
      <c r="D30" s="730"/>
      <c r="E30" s="467">
        <f>E26-E29</f>
        <v>-81550</v>
      </c>
      <c r="F30" s="765">
        <f ca="1">G26-G29</f>
        <v>-207930</v>
      </c>
      <c r="G30" s="716"/>
      <c r="H30" s="716">
        <f ca="1">I26-I29</f>
        <v>111900</v>
      </c>
      <c r="I30" s="716"/>
      <c r="J30" s="716">
        <f ca="1">K26-K29</f>
        <v>14480</v>
      </c>
      <c r="K30" s="716"/>
      <c r="L30" s="716">
        <f ca="1">M26-M29</f>
        <v>0</v>
      </c>
      <c r="M30" s="716"/>
      <c r="N30" s="716">
        <f ca="1">O26-O29</f>
        <v>0</v>
      </c>
      <c r="O30" s="716"/>
      <c r="P30" s="716">
        <f ca="1">Q26-Q29</f>
        <v>0</v>
      </c>
      <c r="Q30" s="716"/>
      <c r="R30" s="716">
        <f ca="1">S26-S29</f>
        <v>0</v>
      </c>
      <c r="S30" s="716"/>
      <c r="T30" s="716">
        <f ca="1">U26-U29</f>
        <v>0</v>
      </c>
      <c r="U30" s="716"/>
      <c r="V30" s="716">
        <f ca="1">W26-W29</f>
        <v>0</v>
      </c>
      <c r="W30" s="716"/>
      <c r="X30" s="716">
        <f ca="1">Y26-Y29</f>
        <v>0</v>
      </c>
      <c r="Y30" s="716"/>
      <c r="Z30" s="716">
        <f ca="1">AA26-AA29</f>
        <v>0</v>
      </c>
      <c r="AA30" s="716"/>
      <c r="AB30" s="716">
        <f ca="1">AC26-AC29</f>
        <v>0</v>
      </c>
      <c r="AC30" s="716"/>
      <c r="AD30" s="716">
        <f ca="1">AE26-AE29</f>
        <v>0</v>
      </c>
      <c r="AE30" s="717"/>
      <c r="AF30" s="454">
        <f ca="1">SUM(F30:AE30)</f>
        <v>-81550</v>
      </c>
    </row>
    <row r="31" spans="1:32" ht="32.25" customHeight="1" thickTop="1" thickBot="1" x14ac:dyDescent="0.25">
      <c r="A31" s="741" t="s">
        <v>115</v>
      </c>
      <c r="B31" s="742"/>
      <c r="C31" s="742"/>
      <c r="D31" s="743"/>
      <c r="E31" s="468"/>
      <c r="F31" s="750">
        <f ca="1">IF(F30=0,"",F30)</f>
        <v>-207930</v>
      </c>
      <c r="G31" s="719"/>
      <c r="H31" s="718">
        <f ca="1">IF(H30=0,"",H30+F31)</f>
        <v>-96030</v>
      </c>
      <c r="I31" s="719"/>
      <c r="J31" s="718">
        <f t="shared" ref="J31" ca="1" si="39">IF(J30=0,"",J30+H31)</f>
        <v>-81550</v>
      </c>
      <c r="K31" s="719"/>
      <c r="L31" s="718" t="str">
        <f t="shared" ref="L31" ca="1" si="40">IF(L30=0,"",L30+J31)</f>
        <v/>
      </c>
      <c r="M31" s="719"/>
      <c r="N31" s="718" t="str">
        <f t="shared" ref="N31" ca="1" si="41">IF(N30=0,"",N30+L31)</f>
        <v/>
      </c>
      <c r="O31" s="719"/>
      <c r="P31" s="718" t="str">
        <f t="shared" ref="P31" ca="1" si="42">IF(P30=0,"",P30+N31)</f>
        <v/>
      </c>
      <c r="Q31" s="719"/>
      <c r="R31" s="718" t="str">
        <f t="shared" ref="R31" ca="1" si="43">IF(R30=0,"",R30+P31)</f>
        <v/>
      </c>
      <c r="S31" s="719"/>
      <c r="T31" s="718" t="str">
        <f t="shared" ref="T31" ca="1" si="44">IF(T30=0,"",T30+R31)</f>
        <v/>
      </c>
      <c r="U31" s="719"/>
      <c r="V31" s="718" t="str">
        <f t="shared" ref="V31" ca="1" si="45">IF(V30=0,"",V30+T31)</f>
        <v/>
      </c>
      <c r="W31" s="719"/>
      <c r="X31" s="718" t="str">
        <f t="shared" ref="X31" ca="1" si="46">IF(X30=0,"",X30+V31)</f>
        <v/>
      </c>
      <c r="Y31" s="719"/>
      <c r="Z31" s="718" t="str">
        <f t="shared" ref="Z31" ca="1" si="47">IF(Z30=0,"",Z30+X31)</f>
        <v/>
      </c>
      <c r="AA31" s="719"/>
      <c r="AB31" s="718" t="str">
        <f t="shared" ref="AB31" ca="1" si="48">IF(AB30=0,"",AB30+Z31)</f>
        <v/>
      </c>
      <c r="AC31" s="719"/>
      <c r="AD31" s="718" t="str">
        <f t="shared" ref="AD31" ca="1" si="49">IF(AD30=0,"",AD30+AB31)</f>
        <v/>
      </c>
      <c r="AE31" s="720"/>
      <c r="AF31" s="1"/>
    </row>
    <row r="32" spans="1:32" ht="20.100000000000001" customHeight="1" thickTop="1" x14ac:dyDescent="0.2">
      <c r="A32" s="1" t="s">
        <v>226</v>
      </c>
      <c r="B32" s="32"/>
      <c r="C32" s="32"/>
      <c r="D32" s="32"/>
      <c r="E32" s="469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0"/>
      <c r="S32" s="470"/>
      <c r="T32" s="470"/>
      <c r="U32" s="470"/>
      <c r="V32" s="470"/>
      <c r="W32" s="470"/>
      <c r="X32" s="470"/>
      <c r="Y32" s="470"/>
      <c r="Z32" s="470"/>
      <c r="AA32" s="470"/>
      <c r="AB32" s="470"/>
      <c r="AC32" s="470"/>
      <c r="AD32" s="757"/>
      <c r="AE32" s="757"/>
      <c r="AF32" s="1"/>
    </row>
    <row r="33" spans="2:32" ht="13.5" customHeight="1" x14ac:dyDescent="0.2">
      <c r="E33" s="471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2"/>
      <c r="AC33" s="472"/>
    </row>
    <row r="34" spans="2:32" ht="13.5" customHeight="1" x14ac:dyDescent="0.2"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</row>
    <row r="35" spans="2:32" ht="13.5" customHeight="1" x14ac:dyDescent="0.2">
      <c r="E35" s="472"/>
      <c r="F35" s="472"/>
      <c r="G35" s="472"/>
      <c r="H35" s="472"/>
      <c r="I35" s="472"/>
      <c r="J35" s="472"/>
      <c r="K35" s="472"/>
      <c r="L35" s="472"/>
      <c r="M35" s="472"/>
      <c r="N35" s="472"/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  <c r="AB35" s="472"/>
      <c r="AC35" s="472"/>
    </row>
    <row r="36" spans="2:32" ht="13.5" customHeight="1" x14ac:dyDescent="0.2">
      <c r="E36" s="472"/>
      <c r="F36" s="472"/>
      <c r="G36" s="472"/>
      <c r="H36" s="472"/>
      <c r="I36" s="472"/>
      <c r="J36" s="472"/>
      <c r="K36" s="472"/>
      <c r="L36" s="472"/>
      <c r="M36" s="472"/>
      <c r="N36" s="472"/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  <c r="AB36" s="472"/>
      <c r="AC36" s="472"/>
    </row>
    <row r="37" spans="2:32" ht="20.100000000000001" customHeight="1" thickBot="1" x14ac:dyDescent="0.25">
      <c r="B37" s="146" t="s">
        <v>132</v>
      </c>
      <c r="C37" s="1"/>
      <c r="D37" s="1"/>
      <c r="E37" s="473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0"/>
      <c r="AC37" s="470"/>
      <c r="AD37" s="474"/>
      <c r="AE37" s="349"/>
      <c r="AF37" s="1"/>
    </row>
    <row r="38" spans="2:32" ht="20.25" customHeight="1" x14ac:dyDescent="0.2">
      <c r="B38" s="475"/>
      <c r="C38" s="476"/>
      <c r="D38" s="477"/>
      <c r="E38" s="478"/>
      <c r="F38" s="726" t="s">
        <v>11</v>
      </c>
      <c r="G38" s="727"/>
      <c r="H38" s="479" t="s">
        <v>32</v>
      </c>
      <c r="I38" s="480"/>
      <c r="J38" s="480"/>
      <c r="K38" s="480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  <c r="AD38" s="481"/>
      <c r="AE38" s="482"/>
      <c r="AF38" s="478"/>
    </row>
    <row r="39" spans="2:32" ht="20.25" customHeight="1" thickBot="1" x14ac:dyDescent="0.25">
      <c r="B39" s="483"/>
      <c r="C39" s="1"/>
      <c r="D39" s="484"/>
      <c r="E39" s="485" t="s">
        <v>4</v>
      </c>
      <c r="F39" s="486"/>
      <c r="G39" s="487">
        <f>'9D･A9D計算シート'!$C$10</f>
        <v>45799</v>
      </c>
      <c r="H39" s="488" t="str">
        <f>IF($G$39='9D･A9D計算シート'!$C$14,"",YEAR($I$39)&amp;"/"&amp;MONTH($I$39))</f>
        <v>2025/5</v>
      </c>
      <c r="I39" s="489">
        <f>IF('9D･A9D計算シート'!$C$12=0,"",'9D･A9D計算シート'!$C$12)</f>
        <v>45800</v>
      </c>
      <c r="J39" s="702" t="str">
        <f>IF(OR('9D･A9D計算シート'!$C$13=H44,'9D･A9D計算シート'!$C$12=0),"",IF(MONTH($I$39)=12,YEAR($I$39)+1&amp;"/"&amp;"1",YEAR($I$39)&amp;"/"&amp;MONTH($I$39)+1))</f>
        <v>2025/6</v>
      </c>
      <c r="K39" s="703"/>
      <c r="L39" s="702" t="str">
        <f ca="1">IF(OR('9D･A9D計算シート'!$C$13=SUMIF($H$40:K$44,"日数/回",$H$44:K$44),'9D･A9D計算シート'!$C$12=0),"",IF(MID(J39,6,2)="12",LEFT(J39,4)+1&amp;"/"&amp;"1",LEFT(J39,4)&amp;"/"&amp;MID(J39,6,2)+1))</f>
        <v>2025/7</v>
      </c>
      <c r="M39" s="703"/>
      <c r="N39" s="702" t="str">
        <f ca="1">IF(OR('9D･A9D計算シート'!$C$13=SUMIF($H$40:M$44,"日数/回",$H$44:M$44),'9D･A9D計算シート'!$C$12=0),"",IF(MID(L39,6,2)="12",LEFT(L39,4)+1&amp;"/"&amp;"1",LEFT(L39,4)&amp;"/"&amp;MID(L39,6,2)+1))</f>
        <v/>
      </c>
      <c r="O39" s="703"/>
      <c r="P39" s="702" t="str">
        <f ca="1">IF(OR('9D･A9D計算シート'!$C$13=SUMIF($H$40:O$44,"日数/回",$H$44:O$44),'9D･A9D計算シート'!$C$12=0),"",IF(MID(N39,6,2)="12",LEFT(N39,4)+1&amp;"/"&amp;"1",LEFT(N39,4)&amp;"/"&amp;MID(N39,6,2)+1))</f>
        <v/>
      </c>
      <c r="Q39" s="703"/>
      <c r="R39" s="702" t="str">
        <f ca="1">IF(OR('9D･A9D計算シート'!$C$13=SUMIF($H$40:Q$44,"日数/回",$H$44:Q$44),'9D･A9D計算シート'!$C$12=0),"",IF(MID(P39,6,2)="12",LEFT(P39,4)+1&amp;"/"&amp;"1",LEFT(P39,4)&amp;"/"&amp;MID(P39,6,2)+1))</f>
        <v/>
      </c>
      <c r="S39" s="703"/>
      <c r="T39" s="702" t="str">
        <f ca="1">IF(OR('9D･A9D計算シート'!$C$13=SUMIF($H$40:S$44,"日数/回",$H$44:S$44),'9D･A9D計算シート'!$C$12=0),"",IF(MID(R39,6,2)="12",LEFT(R39,4)+1&amp;"/"&amp;"1",LEFT(R39,4)&amp;"/"&amp;MID(R39,6,2)+1))</f>
        <v/>
      </c>
      <c r="U39" s="703"/>
      <c r="V39" s="702" t="str">
        <f ca="1">IF(OR('9D･A9D計算シート'!$C$13=SUMIF($H$40:U$44,"日数/回",$H$44:U$44),'9D･A9D計算シート'!$C$12=0),"",IF(MID(T39,6,2)="12",LEFT(T39,4)+1&amp;"/"&amp;"1",LEFT(T39,4)&amp;"/"&amp;MID(T39,6,2)+1))</f>
        <v/>
      </c>
      <c r="W39" s="703"/>
      <c r="X39" s="702" t="str">
        <f ca="1">IF(OR('9D･A9D計算シート'!$C$13=SUMIF($H$40:W$44,"日数/回",$H$44:W$44),'9D･A9D計算シート'!$C$12=0),"",IF(MID(V39,6,2)="12",LEFT(V39,4)+1&amp;"/"&amp;"1",LEFT(V39,4)&amp;"/"&amp;MID(V39,6,2)+1))</f>
        <v/>
      </c>
      <c r="Y39" s="703"/>
      <c r="Z39" s="702" t="str">
        <f ca="1">IF(OR('9D･A9D計算シート'!$C$13=SUMIF($H$40:Y$44,"日数/回",$H$44:Y$44),'9D･A9D計算シート'!$C$12=0),"",IF(MID(X39,6,2)="12",LEFT(X39,4)+1&amp;"/"&amp;"1",LEFT(X39,4)&amp;"/"&amp;MID(X39,6,2)+1))</f>
        <v/>
      </c>
      <c r="AA39" s="703"/>
      <c r="AB39" s="702" t="str">
        <f ca="1">IF(OR('9D･A9D計算シート'!$C$13=SUMIF($H$40:AA$44,"日数/回",$H$44:AA$44),'9D･A9D計算シート'!$C$12=0),"",IF(MID(Z39,6,2)="12",LEFT(Z39,4)+1&amp;"/"&amp;"1",LEFT(Z39,4)&amp;"/"&amp;MID(Z39,6,2)+1))</f>
        <v/>
      </c>
      <c r="AC39" s="703"/>
      <c r="AD39" s="702" t="str">
        <f ca="1">IF(OR('9D･A9D計算シート'!$C$13=SUMIF($H$40:AC$44,"日数/回",$H$44:AC$44),'9D･A9D計算シート'!$C$12=0),"",IF(MID(AB39,6,2)="12",LEFT(AB39,4)+1&amp;"/"&amp;"1",LEFT(AB39,4)&amp;"/"&amp;MID(AB39,6,2)+1))</f>
        <v/>
      </c>
      <c r="AE39" s="713"/>
      <c r="AF39" s="485" t="s">
        <v>112</v>
      </c>
    </row>
    <row r="40" spans="2:32" ht="20.25" customHeight="1" thickBot="1" x14ac:dyDescent="0.25">
      <c r="B40" s="490"/>
      <c r="C40" s="453"/>
      <c r="D40" s="87"/>
      <c r="E40" s="491"/>
      <c r="F40" s="492" t="s">
        <v>41</v>
      </c>
      <c r="G40" s="371" t="s">
        <v>30</v>
      </c>
      <c r="H40" s="372" t="s">
        <v>69</v>
      </c>
      <c r="I40" s="371" t="s">
        <v>30</v>
      </c>
      <c r="J40" s="372" t="s">
        <v>69</v>
      </c>
      <c r="K40" s="371" t="s">
        <v>30</v>
      </c>
      <c r="L40" s="372" t="s">
        <v>69</v>
      </c>
      <c r="M40" s="371" t="s">
        <v>30</v>
      </c>
      <c r="N40" s="372" t="s">
        <v>69</v>
      </c>
      <c r="O40" s="371" t="s">
        <v>30</v>
      </c>
      <c r="P40" s="373" t="s">
        <v>69</v>
      </c>
      <c r="Q40" s="371" t="s">
        <v>30</v>
      </c>
      <c r="R40" s="373" t="s">
        <v>69</v>
      </c>
      <c r="S40" s="371" t="s">
        <v>30</v>
      </c>
      <c r="T40" s="373" t="s">
        <v>69</v>
      </c>
      <c r="U40" s="371" t="s">
        <v>30</v>
      </c>
      <c r="V40" s="373" t="s">
        <v>69</v>
      </c>
      <c r="W40" s="371" t="s">
        <v>30</v>
      </c>
      <c r="X40" s="373" t="s">
        <v>69</v>
      </c>
      <c r="Y40" s="371" t="s">
        <v>30</v>
      </c>
      <c r="Z40" s="373" t="s">
        <v>69</v>
      </c>
      <c r="AA40" s="371" t="s">
        <v>30</v>
      </c>
      <c r="AB40" s="373" t="s">
        <v>69</v>
      </c>
      <c r="AC40" s="371" t="s">
        <v>30</v>
      </c>
      <c r="AD40" s="373" t="s">
        <v>69</v>
      </c>
      <c r="AE40" s="493" t="s">
        <v>30</v>
      </c>
      <c r="AF40" s="491"/>
    </row>
    <row r="41" spans="2:32" ht="21.75" customHeight="1" x14ac:dyDescent="0.2">
      <c r="B41" s="707" t="s">
        <v>295</v>
      </c>
      <c r="C41" s="708"/>
      <c r="D41" s="709"/>
      <c r="E41" s="496" t="str">
        <f>'9D･A9D費用試算'!$J$26</f>
        <v>補助対象外</v>
      </c>
      <c r="F41" s="532"/>
      <c r="G41" s="533" t="str">
        <f>'9D･A9D費用試算'!$J$26</f>
        <v>補助対象外</v>
      </c>
      <c r="H41" s="534"/>
      <c r="I41" s="533"/>
      <c r="J41" s="534"/>
      <c r="K41" s="533"/>
      <c r="L41" s="534"/>
      <c r="M41" s="533"/>
      <c r="N41" s="534"/>
      <c r="O41" s="533"/>
      <c r="P41" s="534"/>
      <c r="Q41" s="533"/>
      <c r="R41" s="534"/>
      <c r="S41" s="533"/>
      <c r="T41" s="534"/>
      <c r="U41" s="533"/>
      <c r="V41" s="534"/>
      <c r="W41" s="533"/>
      <c r="X41" s="534"/>
      <c r="Y41" s="533"/>
      <c r="Z41" s="534"/>
      <c r="AA41" s="533"/>
      <c r="AB41" s="534"/>
      <c r="AC41" s="533"/>
      <c r="AD41" s="534"/>
      <c r="AE41" s="535"/>
      <c r="AF41" s="496" t="str">
        <f>$E$41</f>
        <v>補助対象外</v>
      </c>
    </row>
    <row r="42" spans="2:32" ht="21.75" customHeight="1" x14ac:dyDescent="0.2">
      <c r="B42" s="710" t="s">
        <v>272</v>
      </c>
      <c r="C42" s="711"/>
      <c r="D42" s="712"/>
      <c r="E42" s="496">
        <f>'9D･A9D費用試算'!$J$37</f>
        <v>0</v>
      </c>
      <c r="F42" s="532"/>
      <c r="G42" s="533">
        <f>'9D･A9D計算シート'!$M$5</f>
        <v>0</v>
      </c>
      <c r="H42" s="534"/>
      <c r="I42" s="533">
        <f ca="1">SUMIF('9D･A9D計算シート'!$L$5:$M$7,H$39,'9D･A9D計算シート'!$M$5:$M$7)</f>
        <v>0</v>
      </c>
      <c r="J42" s="534"/>
      <c r="K42" s="533">
        <f ca="1">SUMIF('9D･A9D計算シート'!$L$5:$M$7,J$39,'9D･A9D計算シート'!$M$5:$M$7)</f>
        <v>0</v>
      </c>
      <c r="L42" s="534"/>
      <c r="M42" s="533">
        <f ca="1">SUMIF('9D･A9D計算シート'!$L$5:$M$7,L$39,'9D･A9D計算シート'!$M$5:$M$7)</f>
        <v>0</v>
      </c>
      <c r="N42" s="534"/>
      <c r="O42" s="533">
        <f ca="1">SUMIF('9D･A9D計算シート'!$L$5:$M$7,N$39,'9D･A9D計算シート'!$M$5:$M$7)</f>
        <v>0</v>
      </c>
      <c r="P42" s="534"/>
      <c r="Q42" s="533">
        <f ca="1">SUMIF('9D･A9D計算シート'!$L$5:$M$7,P$39,'9D･A9D計算シート'!$M$5:$M$7)</f>
        <v>0</v>
      </c>
      <c r="R42" s="534"/>
      <c r="S42" s="533">
        <f ca="1">SUMIF('9D･A9D計算シート'!$L$5:$M$7,R$39,'9D･A9D計算シート'!$M$5:$M$7)</f>
        <v>0</v>
      </c>
      <c r="T42" s="534"/>
      <c r="U42" s="533">
        <f ca="1">SUMIF('9D･A9D計算シート'!$L$5:$M$7,T$39,'9D･A9D計算シート'!$M$5:$M$7)</f>
        <v>0</v>
      </c>
      <c r="V42" s="534"/>
      <c r="W42" s="533">
        <f ca="1">SUMIF('9D･A9D計算シート'!$L$5:$M$7,V$39,'9D･A9D計算シート'!$M$5:$M$7)</f>
        <v>0</v>
      </c>
      <c r="X42" s="534"/>
      <c r="Y42" s="533">
        <f ca="1">SUMIF('9D･A9D計算シート'!$L$5:$M$7,X$39,'9D･A9D計算シート'!$M$5:$M$7)</f>
        <v>0</v>
      </c>
      <c r="Z42" s="534"/>
      <c r="AA42" s="533">
        <f ca="1">SUMIF('9D･A9D計算シート'!$L$5:$M$7,Z$39,'9D･A9D計算シート'!$M$5:$M$7)</f>
        <v>0</v>
      </c>
      <c r="AB42" s="534"/>
      <c r="AC42" s="533">
        <f ca="1">SUMIF('9D･A9D計算シート'!$L$5:$M$7,AB$39,'9D･A9D計算シート'!$M$5:$M$7)</f>
        <v>0</v>
      </c>
      <c r="AD42" s="534"/>
      <c r="AE42" s="535">
        <f ca="1">SUMIF('9D･A9D計算シート'!$L$5:$M$7,AD$39,'9D･A9D計算シート'!$M$5:$M$7)</f>
        <v>0</v>
      </c>
      <c r="AF42" s="496">
        <f ca="1">SUMIF($F$40:$AE42,"金額",$F42:$AE42)</f>
        <v>0</v>
      </c>
    </row>
    <row r="43" spans="2:32" ht="21.75" customHeight="1" thickBot="1" x14ac:dyDescent="0.25">
      <c r="B43" s="704" t="s">
        <v>128</v>
      </c>
      <c r="C43" s="705"/>
      <c r="D43" s="706"/>
      <c r="E43" s="497">
        <f>IF(【実地研修中の宿泊】=3,'9D･A9D費用試算'!$J$32,0)</f>
        <v>0</v>
      </c>
      <c r="F43" s="498"/>
      <c r="G43" s="499">
        <v>0</v>
      </c>
      <c r="H43" s="500">
        <f>IF(H$39="",0,IF(【実地研修中の宿泊】=3,IF('9D･A9D計算シート'!$C$12=0,0,VLOOKUP(H$39,【研修日数】,10,FALSE)),0))</f>
        <v>9</v>
      </c>
      <c r="I43" s="499">
        <f>'9D･A9D費用試算'!$H$32*H43</f>
        <v>0</v>
      </c>
      <c r="J43" s="500">
        <f>IF(J$39="",0,IF(【実地研修中の宿泊】=3,IF('9D･A9D計算シート'!$C$12=0,0,VLOOKUP(J$39,【研修日数】,10,FALSE)),0))</f>
        <v>30</v>
      </c>
      <c r="K43" s="499">
        <f>'9D･A9D費用試算'!$H$32*J43</f>
        <v>0</v>
      </c>
      <c r="L43" s="500">
        <f ca="1">IF(L$39="",0,IF(【実地研修中の宿泊】=3,IF('9D･A9D計算シート'!$C$12=0,0,VLOOKUP(L$39,【研修日数】,10,FALSE)),0))</f>
        <v>5</v>
      </c>
      <c r="M43" s="499">
        <f ca="1">'9D･A9D費用試算'!$H$32*L43</f>
        <v>0</v>
      </c>
      <c r="N43" s="500">
        <f ca="1">IF(N$39="",0,IF(【実地研修中の宿泊】=3,IF('9D･A9D計算シート'!$C$12=0,0,VLOOKUP(N$39,【研修日数】,10,FALSE)),0))</f>
        <v>0</v>
      </c>
      <c r="O43" s="499">
        <f ca="1">'9D･A9D費用試算'!$H$32*N43</f>
        <v>0</v>
      </c>
      <c r="P43" s="500">
        <f ca="1">IF(P$39="",0,IF(【実地研修中の宿泊】=3,IF('9D･A9D計算シート'!$C$12=0,0,VLOOKUP(P$39,【研修日数】,10,FALSE)),0))</f>
        <v>0</v>
      </c>
      <c r="Q43" s="501">
        <f ca="1">'9D･A9D費用試算'!$H$32*P43</f>
        <v>0</v>
      </c>
      <c r="R43" s="500">
        <f ca="1">IF(R$39="",0,IF(【実地研修中の宿泊】=3,IF('9D･A9D計算シート'!$C$12=0,0,VLOOKUP(R$39,【研修日数】,10,FALSE)),0))</f>
        <v>0</v>
      </c>
      <c r="S43" s="501">
        <f ca="1">'9D･A9D費用試算'!$H$32*R43</f>
        <v>0</v>
      </c>
      <c r="T43" s="500">
        <f ca="1">IF(T$39="",0,IF(【実地研修中の宿泊】=3,IF('9D･A9D計算シート'!$C$12=0,0,VLOOKUP(T$39,【研修日数】,10,FALSE)),0))</f>
        <v>0</v>
      </c>
      <c r="U43" s="501">
        <f ca="1">'9D･A9D費用試算'!$H$32*T43</f>
        <v>0</v>
      </c>
      <c r="V43" s="500">
        <f ca="1">IF(V$39="",0,IF(【実地研修中の宿泊】=3,IF('9D･A9D計算シート'!$C$12=0,0,VLOOKUP(V$39,【研修日数】,10,FALSE)),0))</f>
        <v>0</v>
      </c>
      <c r="W43" s="501">
        <f ca="1">'9D･A9D費用試算'!$H$32*V43</f>
        <v>0</v>
      </c>
      <c r="X43" s="500">
        <f ca="1">IF(X$39="",0,IF(【実地研修中の宿泊】=3,IF('9D･A9D計算シート'!$C$12=0,0,VLOOKUP(X$39,【研修日数】,10,FALSE)),0))</f>
        <v>0</v>
      </c>
      <c r="Y43" s="501">
        <f ca="1">'9D･A9D費用試算'!$H$32*X43</f>
        <v>0</v>
      </c>
      <c r="Z43" s="500">
        <f ca="1">IF(Z$39="",0,IF(【実地研修中の宿泊】=3,IF('9D･A9D計算シート'!$C$12=0,0,VLOOKUP(Z$39,【研修日数】,10,FALSE)),0))</f>
        <v>0</v>
      </c>
      <c r="AA43" s="501">
        <f ca="1">'9D･A9D費用試算'!$H$32*Z43</f>
        <v>0</v>
      </c>
      <c r="AB43" s="500">
        <f ca="1">IF(AB$39="",0,IF(【実地研修中の宿泊】=3,IF('9D･A9D計算シート'!$C$12=0,0,VLOOKUP(AB$39,【研修日数】,10,FALSE)),0))</f>
        <v>0</v>
      </c>
      <c r="AC43" s="501">
        <f ca="1">'9D･A9D費用試算'!$H$32*AB43</f>
        <v>0</v>
      </c>
      <c r="AD43" s="500">
        <f ca="1">IF(AD$39="",0,IF(【実地研修中の宿泊】=3,IF('9D･A9D計算シート'!$C$12=0,0,VLOOKUP(AD$39,【研修日数】,10,FALSE)),0))</f>
        <v>0</v>
      </c>
      <c r="AE43" s="502">
        <f ca="1">'9D･A9D費用試算'!$H$32*AD43</f>
        <v>0</v>
      </c>
      <c r="AF43" s="497">
        <f ca="1">SUMIF($F$40:$AE43,"金額",$F43:$AE43)</f>
        <v>0</v>
      </c>
    </row>
    <row r="44" spans="2:32" ht="21.75" customHeight="1" thickTop="1" x14ac:dyDescent="0.2">
      <c r="B44" s="503" t="str">
        <f>"実地研修中食費（@"&amp;TEXT('9D･A9D費用試算'!$H$33,"#,###")&amp;"×"&amp;'9D･A9D費用試算'!$I$33&amp;"日）"</f>
        <v>実地研修中食費（@3,100×44日）</v>
      </c>
      <c r="C44" s="377"/>
      <c r="D44" s="504"/>
      <c r="E44" s="505">
        <f>'9D･A9D費用試算'!$J$33</f>
        <v>136400</v>
      </c>
      <c r="F44" s="506"/>
      <c r="G44" s="507">
        <v>0</v>
      </c>
      <c r="H44" s="508">
        <f>IF(H$39="",0,VLOOKUP(H$39,【研修日数】,10,FALSE))</f>
        <v>9</v>
      </c>
      <c r="I44" s="507">
        <f>'9D･A9D費用試算'!$H$33*H44</f>
        <v>27900</v>
      </c>
      <c r="J44" s="508">
        <f>IF(J$39="",0,VLOOKUP(J$39,【研修日数】,10,FALSE))</f>
        <v>30</v>
      </c>
      <c r="K44" s="507">
        <f>'9D･A9D費用試算'!$H$33*J44</f>
        <v>93000</v>
      </c>
      <c r="L44" s="508">
        <f ca="1">IF(L$39="",0,VLOOKUP(L$39,【研修日数】,10,FALSE))</f>
        <v>5</v>
      </c>
      <c r="M44" s="507">
        <f ca="1">'9D･A9D費用試算'!$H$33*L44</f>
        <v>15500</v>
      </c>
      <c r="N44" s="508">
        <f ca="1">IF(N$39="",0,VLOOKUP(N$39,【研修日数】,10,FALSE))</f>
        <v>0</v>
      </c>
      <c r="O44" s="507">
        <f ca="1">'9D･A9D費用試算'!$H$33*N44</f>
        <v>0</v>
      </c>
      <c r="P44" s="508">
        <f ca="1">IF(P$39="",0,VLOOKUP(P$39,【研修日数】,10,FALSE))</f>
        <v>0</v>
      </c>
      <c r="Q44" s="509">
        <f ca="1">'9D･A9D費用試算'!$H$33*P44</f>
        <v>0</v>
      </c>
      <c r="R44" s="508">
        <f ca="1">IF(R$39="",0,VLOOKUP(R$39,【研修日数】,10,FALSE))</f>
        <v>0</v>
      </c>
      <c r="S44" s="509">
        <f ca="1">'9D･A9D費用試算'!$H$33*R44</f>
        <v>0</v>
      </c>
      <c r="T44" s="508">
        <f ca="1">IF(T$39="",0,VLOOKUP(T$39,【研修日数】,10,FALSE))</f>
        <v>0</v>
      </c>
      <c r="U44" s="509">
        <f ca="1">'9D･A9D費用試算'!$H$33*T44</f>
        <v>0</v>
      </c>
      <c r="V44" s="508">
        <f ca="1">IF(V$39="",0,VLOOKUP(V$39,【研修日数】,10,FALSE))</f>
        <v>0</v>
      </c>
      <c r="W44" s="509">
        <f ca="1">'9D･A9D費用試算'!$H$33*V44</f>
        <v>0</v>
      </c>
      <c r="X44" s="508">
        <f ca="1">IF(X$39="",0,VLOOKUP(X$39,【研修日数】,10,FALSE))</f>
        <v>0</v>
      </c>
      <c r="Y44" s="509">
        <f ca="1">'9D･A9D費用試算'!$H$33*X44</f>
        <v>0</v>
      </c>
      <c r="Z44" s="508">
        <f ca="1">IF(Z$39="",0,VLOOKUP(Z$39,【研修日数】,10,FALSE))</f>
        <v>0</v>
      </c>
      <c r="AA44" s="509">
        <f ca="1">'9D･A9D費用試算'!$H$33*Z44</f>
        <v>0</v>
      </c>
      <c r="AB44" s="508">
        <f ca="1">IF(AB$39="",0,VLOOKUP(AB$39,【研修日数】,10,FALSE))</f>
        <v>0</v>
      </c>
      <c r="AC44" s="509">
        <f ca="1">'9D･A9D費用試算'!$H$33*AB44</f>
        <v>0</v>
      </c>
      <c r="AD44" s="508">
        <f ca="1">IF(AD$39="",0,VLOOKUP(AD$39,【研修日数】,10,FALSE))</f>
        <v>0</v>
      </c>
      <c r="AE44" s="510">
        <f ca="1">'9D･A9D費用試算'!$H$33*AD44</f>
        <v>0</v>
      </c>
      <c r="AF44" s="505">
        <f ca="1">SUMIF($F$40:$AE44,"金額",$F44:$AE44)</f>
        <v>136400</v>
      </c>
    </row>
    <row r="45" spans="2:32" ht="21.75" customHeight="1" thickBot="1" x14ac:dyDescent="0.25">
      <c r="B45" s="494" t="str">
        <f>"雑費（@"&amp;TEXT('9D･A9D費用試算'!$H$34,"#,###")&amp;"×"&amp;'9D･A9D計算シート'!$C$6&amp;"日）"</f>
        <v>雑費（@1,000×54日）</v>
      </c>
      <c r="C45" s="457"/>
      <c r="D45" s="495"/>
      <c r="E45" s="511">
        <f>'9D･A9D費用試算'!$J$34</f>
        <v>54000</v>
      </c>
      <c r="F45" s="512">
        <f>'9D･A9D計算シート'!C9</f>
        <v>10</v>
      </c>
      <c r="G45" s="513">
        <f>'9D･A9D費用試算'!$H$34*F45</f>
        <v>10000</v>
      </c>
      <c r="H45" s="514">
        <f>IF(H$39="",0,VLOOKUP(H$39,【研修日数】,10,FALSE))</f>
        <v>9</v>
      </c>
      <c r="I45" s="513">
        <f>'9D･A9D費用試算'!$H$34*H45</f>
        <v>9000</v>
      </c>
      <c r="J45" s="514">
        <f>IF(J$39="",0,VLOOKUP(J$39,【研修日数】,10,FALSE))</f>
        <v>30</v>
      </c>
      <c r="K45" s="513">
        <f>'9D･A9D費用試算'!$H$34*J45</f>
        <v>30000</v>
      </c>
      <c r="L45" s="514">
        <f ca="1">IF(L$39="",0,VLOOKUP(L$39,【研修日数】,10,FALSE))</f>
        <v>5</v>
      </c>
      <c r="M45" s="513">
        <f ca="1">'9D･A9D費用試算'!$H$34*L45</f>
        <v>5000</v>
      </c>
      <c r="N45" s="514">
        <f ca="1">IF(N$39="",0,VLOOKUP(N$39,【研修日数】,10,FALSE))</f>
        <v>0</v>
      </c>
      <c r="O45" s="513">
        <f ca="1">'9D･A9D費用試算'!$H$34*N45</f>
        <v>0</v>
      </c>
      <c r="P45" s="514">
        <f ca="1">IF(P$39="",0,VLOOKUP(P$39,【研修日数】,10,FALSE))</f>
        <v>0</v>
      </c>
      <c r="Q45" s="513">
        <f ca="1">'9D･A9D費用試算'!$H$34*P45</f>
        <v>0</v>
      </c>
      <c r="R45" s="514">
        <f ca="1">IF(R$39="",0,VLOOKUP(R$39,【研修日数】,10,FALSE))</f>
        <v>0</v>
      </c>
      <c r="S45" s="513">
        <f ca="1">'9D･A9D費用試算'!$H$34*R45</f>
        <v>0</v>
      </c>
      <c r="T45" s="514">
        <f ca="1">IF(T$39="",0,VLOOKUP(T$39,【研修日数】,10,FALSE))</f>
        <v>0</v>
      </c>
      <c r="U45" s="513">
        <f ca="1">'9D･A9D費用試算'!$H$34*T45</f>
        <v>0</v>
      </c>
      <c r="V45" s="514">
        <f ca="1">IF(V$39="",0,VLOOKUP(V$39,【研修日数】,10,FALSE))</f>
        <v>0</v>
      </c>
      <c r="W45" s="513">
        <f ca="1">'9D･A9D費用試算'!$H$34*V45</f>
        <v>0</v>
      </c>
      <c r="X45" s="514">
        <f ca="1">IF(X$39="",0,VLOOKUP(X$39,【研修日数】,10,FALSE))</f>
        <v>0</v>
      </c>
      <c r="Y45" s="513">
        <f ca="1">'9D･A9D費用試算'!$H$34*X45</f>
        <v>0</v>
      </c>
      <c r="Z45" s="514">
        <f ca="1">IF(Z$39="",0,VLOOKUP(Z$39,【研修日数】,10,FALSE))</f>
        <v>0</v>
      </c>
      <c r="AA45" s="513">
        <f ca="1">'9D･A9D費用試算'!$H$34*Z45</f>
        <v>0</v>
      </c>
      <c r="AB45" s="514">
        <f ca="1">IF(AB$39="",0,VLOOKUP(AB$39,【研修日数】,10,FALSE))</f>
        <v>0</v>
      </c>
      <c r="AC45" s="513">
        <f ca="1">'9D･A9D費用試算'!$H$34*AB45</f>
        <v>0</v>
      </c>
      <c r="AD45" s="514">
        <f ca="1">IF(AD$39="",0,VLOOKUP(AD$39,【研修日数】,10,FALSE))</f>
        <v>0</v>
      </c>
      <c r="AE45" s="515">
        <f ca="1">'9D･A9D費用試算'!$H$34*AD45</f>
        <v>0</v>
      </c>
      <c r="AF45" s="511">
        <f ca="1">SUMIF($F$40:$AE45,"金額",$F45:$AE45)</f>
        <v>54000</v>
      </c>
    </row>
    <row r="46" spans="2:32" ht="30" customHeight="1" thickBot="1" x14ac:dyDescent="0.25">
      <c r="B46" s="699" t="s">
        <v>4</v>
      </c>
      <c r="C46" s="700"/>
      <c r="D46" s="701"/>
      <c r="E46" s="516">
        <f>SUM(E41:E45)</f>
        <v>190400</v>
      </c>
      <c r="F46" s="517"/>
      <c r="G46" s="518">
        <f>SUM(G41:G45)</f>
        <v>10000</v>
      </c>
      <c r="H46" s="517"/>
      <c r="I46" s="518">
        <f ca="1">SUM(I41:I45)</f>
        <v>36900</v>
      </c>
      <c r="J46" s="517"/>
      <c r="K46" s="518">
        <f ca="1">SUM(K41:K45)</f>
        <v>123000</v>
      </c>
      <c r="L46" s="517"/>
      <c r="M46" s="518">
        <f ca="1">SUM(M41:M45)</f>
        <v>20500</v>
      </c>
      <c r="N46" s="517"/>
      <c r="O46" s="518">
        <f ca="1">SUM(O41:O45)</f>
        <v>0</v>
      </c>
      <c r="P46" s="517"/>
      <c r="Q46" s="518">
        <f ca="1">SUM(Q41:Q45)</f>
        <v>0</v>
      </c>
      <c r="R46" s="517"/>
      <c r="S46" s="518">
        <f ca="1">SUM(S41:S45)</f>
        <v>0</v>
      </c>
      <c r="T46" s="517"/>
      <c r="U46" s="518">
        <f ca="1">SUM(U41:U45)</f>
        <v>0</v>
      </c>
      <c r="V46" s="517"/>
      <c r="W46" s="518">
        <f ca="1">SUM(W41:W45)</f>
        <v>0</v>
      </c>
      <c r="X46" s="517"/>
      <c r="Y46" s="518">
        <f ca="1">SUM(Y41:Y45)</f>
        <v>0</v>
      </c>
      <c r="Z46" s="517"/>
      <c r="AA46" s="518">
        <f ca="1">SUM(AA41:AA45)</f>
        <v>0</v>
      </c>
      <c r="AB46" s="517"/>
      <c r="AC46" s="518">
        <f ca="1">SUM(AC41:AC45)</f>
        <v>0</v>
      </c>
      <c r="AD46" s="517"/>
      <c r="AE46" s="519">
        <f ca="1">SUM(AE41:AE45)</f>
        <v>0</v>
      </c>
      <c r="AF46" s="516">
        <f ca="1">SUM(AF41:AF45)</f>
        <v>190400</v>
      </c>
    </row>
    <row r="47" spans="2:32" ht="20.100000000000001" customHeight="1" x14ac:dyDescent="0.2">
      <c r="B47" s="1" t="s">
        <v>271</v>
      </c>
      <c r="C47" s="1"/>
      <c r="D47" s="1"/>
      <c r="E47" s="470"/>
      <c r="F47" s="474"/>
      <c r="G47" s="474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0"/>
      <c r="AC47" s="470"/>
      <c r="AD47" s="474"/>
      <c r="AE47" s="474"/>
      <c r="AF47" s="1"/>
    </row>
    <row r="48" spans="2:32" ht="13.5" customHeight="1" x14ac:dyDescent="0.2">
      <c r="E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472"/>
      <c r="AA48" s="472"/>
      <c r="AB48" s="472"/>
      <c r="AC48" s="472"/>
    </row>
    <row r="49" spans="5:29" ht="13.5" customHeight="1" x14ac:dyDescent="0.2">
      <c r="E49" s="472"/>
      <c r="H49" s="472"/>
      <c r="I49" s="472"/>
      <c r="J49" s="472"/>
      <c r="K49" s="472"/>
      <c r="L49" s="472"/>
      <c r="M49" s="472"/>
      <c r="N49" s="472"/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  <c r="AB49" s="472"/>
      <c r="AC49" s="472"/>
    </row>
    <row r="50" spans="5:29" ht="13.5" customHeight="1" x14ac:dyDescent="0.2">
      <c r="E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2"/>
      <c r="AB50" s="472"/>
      <c r="AC50" s="472"/>
    </row>
  </sheetData>
  <sheetProtection formatCells="0"/>
  <mergeCells count="83">
    <mergeCell ref="F1:G1"/>
    <mergeCell ref="B4:C4"/>
    <mergeCell ref="A27:A29"/>
    <mergeCell ref="AD32:AE32"/>
    <mergeCell ref="B26:D26"/>
    <mergeCell ref="A20:A26"/>
    <mergeCell ref="C21:C22"/>
    <mergeCell ref="T31:U31"/>
    <mergeCell ref="V31:W31"/>
    <mergeCell ref="X31:Y31"/>
    <mergeCell ref="P31:Q31"/>
    <mergeCell ref="R31:S31"/>
    <mergeCell ref="F30:G30"/>
    <mergeCell ref="H30:I30"/>
    <mergeCell ref="J30:K30"/>
    <mergeCell ref="L30:M30"/>
    <mergeCell ref="H7:I7"/>
    <mergeCell ref="H6:I6"/>
    <mergeCell ref="L7:M7"/>
    <mergeCell ref="L6:M6"/>
    <mergeCell ref="F6:G6"/>
    <mergeCell ref="N6:O6"/>
    <mergeCell ref="P7:Q7"/>
    <mergeCell ref="P6:Q6"/>
    <mergeCell ref="P30:Q30"/>
    <mergeCell ref="J7:K7"/>
    <mergeCell ref="J6:K6"/>
    <mergeCell ref="V7:W7"/>
    <mergeCell ref="R30:S30"/>
    <mergeCell ref="V6:W6"/>
    <mergeCell ref="T7:U7"/>
    <mergeCell ref="T6:U6"/>
    <mergeCell ref="R7:S7"/>
    <mergeCell ref="R6:S6"/>
    <mergeCell ref="T30:U30"/>
    <mergeCell ref="F38:G38"/>
    <mergeCell ref="A30:D30"/>
    <mergeCell ref="F7:G7"/>
    <mergeCell ref="A11:D11"/>
    <mergeCell ref="N7:O7"/>
    <mergeCell ref="B29:D29"/>
    <mergeCell ref="B19:D19"/>
    <mergeCell ref="N30:O30"/>
    <mergeCell ref="N31:O31"/>
    <mergeCell ref="A31:D31"/>
    <mergeCell ref="A12:A19"/>
    <mergeCell ref="L31:M31"/>
    <mergeCell ref="J31:K31"/>
    <mergeCell ref="B21:B23"/>
    <mergeCell ref="F31:G31"/>
    <mergeCell ref="H31:I31"/>
    <mergeCell ref="AB7:AC7"/>
    <mergeCell ref="AB6:AC6"/>
    <mergeCell ref="Z7:AA7"/>
    <mergeCell ref="Z6:AA6"/>
    <mergeCell ref="X7:Y7"/>
    <mergeCell ref="X6:Y6"/>
    <mergeCell ref="AD39:AE39"/>
    <mergeCell ref="AF6:AF7"/>
    <mergeCell ref="AD30:AE30"/>
    <mergeCell ref="V30:W30"/>
    <mergeCell ref="X30:Y30"/>
    <mergeCell ref="Z30:AA30"/>
    <mergeCell ref="V39:W39"/>
    <mergeCell ref="X39:Y39"/>
    <mergeCell ref="Z39:AA39"/>
    <mergeCell ref="AB39:AC39"/>
    <mergeCell ref="Z31:AA31"/>
    <mergeCell ref="AB31:AC31"/>
    <mergeCell ref="AD31:AE31"/>
    <mergeCell ref="AB30:AC30"/>
    <mergeCell ref="AD7:AE7"/>
    <mergeCell ref="AD6:AE6"/>
    <mergeCell ref="B46:D46"/>
    <mergeCell ref="R39:S39"/>
    <mergeCell ref="B43:D43"/>
    <mergeCell ref="T39:U39"/>
    <mergeCell ref="J39:K39"/>
    <mergeCell ref="L39:M39"/>
    <mergeCell ref="N39:O39"/>
    <mergeCell ref="P39:Q39"/>
    <mergeCell ref="B41:D41"/>
    <mergeCell ref="B42:D42"/>
  </mergeCells>
  <phoneticPr fontId="2"/>
  <conditionalFormatting sqref="F31:G31">
    <cfRule type="cellIs" dxfId="27" priority="8" stopIfTrue="1" operator="greaterThan">
      <formula>0</formula>
    </cfRule>
    <cfRule type="expression" dxfId="26" priority="9" stopIfTrue="1">
      <formula>AND($F$31&lt;&gt;"",$H$31="")</formula>
    </cfRule>
  </conditionalFormatting>
  <conditionalFormatting sqref="F8:AE10 F13:AE18 F20:AE25 F27:AE28 F41:AE46">
    <cfRule type="cellIs" dxfId="25" priority="4" stopIfTrue="1" operator="equal">
      <formula>0</formula>
    </cfRule>
  </conditionalFormatting>
  <conditionalFormatting sqref="F19:AE19 F26:AE26 F29:AE29 F30 H30 J30 L30 N30 P30 R30 T30 V30 X30 Z30 AB30 AD30">
    <cfRule type="cellIs" dxfId="24" priority="6" stopIfTrue="1" operator="equal">
      <formula>0</formula>
    </cfRule>
  </conditionalFormatting>
  <conditionalFormatting sqref="H31:I31">
    <cfRule type="expression" dxfId="23" priority="10" stopIfTrue="1">
      <formula>AND($F$31&lt;0,$H$31&gt;0,$H$31&lt;&gt;"")</formula>
    </cfRule>
    <cfRule type="expression" dxfId="22" priority="11" stopIfTrue="1">
      <formula>AND($H$31&lt;&gt;"",$J$31="")</formula>
    </cfRule>
  </conditionalFormatting>
  <conditionalFormatting sqref="J31:K31">
    <cfRule type="expression" dxfId="21" priority="12" stopIfTrue="1">
      <formula>AND($H$31&lt;0,$J$31&gt;0,$J$31&lt;&gt;"")</formula>
    </cfRule>
    <cfRule type="expression" dxfId="20" priority="13" stopIfTrue="1">
      <formula>AND($J$31&lt;&gt;"",$L$31="")</formula>
    </cfRule>
  </conditionalFormatting>
  <conditionalFormatting sqref="L31:M31">
    <cfRule type="expression" dxfId="19" priority="14" stopIfTrue="1">
      <formula>AND($J$31&lt;0,$L$31&gt;0,$L$31&lt;&gt;"")</formula>
    </cfRule>
    <cfRule type="expression" dxfId="18" priority="15" stopIfTrue="1">
      <formula>AND($L$31&lt;&gt;"",$N$31="")</formula>
    </cfRule>
  </conditionalFormatting>
  <conditionalFormatting sqref="N31:O31">
    <cfRule type="expression" dxfId="17" priority="16" stopIfTrue="1">
      <formula>AND($L$31&lt;0,$N$31&gt;0,$N$31&lt;&gt;"")</formula>
    </cfRule>
    <cfRule type="expression" dxfId="16" priority="17" stopIfTrue="1">
      <formula>AND($N$31&lt;&gt;"",$P$31="")</formula>
    </cfRule>
  </conditionalFormatting>
  <conditionalFormatting sqref="P31:Q31">
    <cfRule type="expression" dxfId="15" priority="18" stopIfTrue="1">
      <formula>AND($N$31&lt;0,$P$31&gt;0,$P$31&lt;&gt;"")</formula>
    </cfRule>
    <cfRule type="expression" dxfId="14" priority="19" stopIfTrue="1">
      <formula>AND($P$31&lt;&gt;"",$R$31="")</formula>
    </cfRule>
  </conditionalFormatting>
  <conditionalFormatting sqref="R31:S31">
    <cfRule type="expression" dxfId="13" priority="20" stopIfTrue="1">
      <formula>AND($P$31&lt;0,$R$31&gt;0,$R$31&lt;&gt;"")</formula>
    </cfRule>
    <cfRule type="expression" dxfId="12" priority="21" stopIfTrue="1">
      <formula>AND($R$31&lt;&gt;"",$T$31="")</formula>
    </cfRule>
  </conditionalFormatting>
  <conditionalFormatting sqref="T31:U31">
    <cfRule type="expression" dxfId="11" priority="22" stopIfTrue="1">
      <formula>AND($R$31&lt;0,$T$31&gt;0,$T$31&lt;&gt;"")</formula>
    </cfRule>
    <cfRule type="expression" dxfId="10" priority="23" stopIfTrue="1">
      <formula>AND($T$31&lt;&gt;"",$V$31="")</formula>
    </cfRule>
  </conditionalFormatting>
  <conditionalFormatting sqref="V31:W31">
    <cfRule type="expression" dxfId="9" priority="24" stopIfTrue="1">
      <formula>AND($T$31&lt;0,$V$31&gt;0,$V$31&lt;&gt;"")</formula>
    </cfRule>
    <cfRule type="expression" dxfId="8" priority="25" stopIfTrue="1">
      <formula>AND($V$31&lt;&gt;"",$X$31="")</formula>
    </cfRule>
  </conditionalFormatting>
  <conditionalFormatting sqref="X31:Y31">
    <cfRule type="expression" dxfId="7" priority="26" stopIfTrue="1">
      <formula>AND($V$31&lt;0,$X$31&gt;0,$X$31&lt;&gt;"")</formula>
    </cfRule>
    <cfRule type="expression" dxfId="6" priority="27" stopIfTrue="1">
      <formula>AND($X$31&lt;&gt;"",$Z$31="")</formula>
    </cfRule>
  </conditionalFormatting>
  <conditionalFormatting sqref="Z31:AA31">
    <cfRule type="expression" dxfId="5" priority="28" stopIfTrue="1">
      <formula>AND($X$31&lt;0,$Z$31&gt;0,$Z$31&lt;&gt;"")</formula>
    </cfRule>
    <cfRule type="expression" dxfId="4" priority="29" stopIfTrue="1">
      <formula>AND($Z$31&lt;&gt;"",$AB$31="")</formula>
    </cfRule>
  </conditionalFormatting>
  <conditionalFormatting sqref="AB31:AC31">
    <cfRule type="expression" dxfId="3" priority="30" stopIfTrue="1">
      <formula>AND($Z$31&lt;0,$AB$31&gt;0,$AB$31&lt;&gt;"")</formula>
    </cfRule>
    <cfRule type="expression" dxfId="2" priority="31" stopIfTrue="1">
      <formula>AND($AB$31&lt;&gt;"",$AD$31="")</formula>
    </cfRule>
  </conditionalFormatting>
  <conditionalFormatting sqref="AD31:AE31">
    <cfRule type="expression" dxfId="1" priority="32" stopIfTrue="1">
      <formula>AND($AB$31&lt;0,$AD$31&gt;0,$AD$31&lt;&gt;"")</formula>
    </cfRule>
    <cfRule type="expression" dxfId="0" priority="33" stopIfTrue="1">
      <formula>$AD$30&gt;0</formula>
    </cfRule>
  </conditionalFormatting>
  <dataValidations disablePrompts="1" count="1">
    <dataValidation type="date" imeMode="off" operator="greaterThanOrEqual" allowBlank="1" showErrorMessage="1" sqref="F1" xr:uid="{00000000-0002-0000-0100-000000000000}">
      <formula1>1</formula1>
    </dataValidation>
  </dataValidations>
  <printOptions horizontalCentered="1"/>
  <pageMargins left="0.39370078740157483" right="0.39370078740157483" top="0.9055118110236221" bottom="0.35433070866141736" header="0.51181102362204722" footer="0.15748031496062992"/>
  <pageSetup paperSize="8" scale="75" pageOrder="overThenDown" orientation="landscape" r:id="rId1"/>
  <headerFooter alignWithMargins="0">
    <oddHeader>&amp;R月別受入費等明細（9D, A9D）：2025年度版</oddHeader>
  </headerFooter>
  <ignoredErrors>
    <ignoredError sqref="O23 N23:N24 P23:P24 R23:R24 T23:T24 V23:V24 X23:X24 Z23:Z24 AB23:AB24 G23 I23 K23 W23 Y23 AA23 AC23 AD24 Q23 S23 U23 M23 I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190"/>
  <sheetViews>
    <sheetView showGridLines="0" topLeftCell="A37" zoomScaleNormal="100" workbookViewId="0">
      <selection activeCell="G41" sqref="G41"/>
    </sheetView>
  </sheetViews>
  <sheetFormatPr defaultColWidth="10.6640625" defaultRowHeight="13.5" customHeight="1" x14ac:dyDescent="0.2"/>
  <cols>
    <col min="1" max="1" width="3" style="1" customWidth="1"/>
    <col min="2" max="2" width="13.109375" style="1" customWidth="1"/>
    <col min="3" max="3" width="31.109375" style="1" customWidth="1"/>
    <col min="4" max="5" width="10.6640625" style="1" customWidth="1"/>
    <col min="6" max="16384" width="10.6640625" style="1"/>
  </cols>
  <sheetData>
    <row r="1" spans="1:24" ht="13.5" customHeight="1" x14ac:dyDescent="0.2">
      <c r="A1" s="2"/>
      <c r="B1" s="1" t="s">
        <v>204</v>
      </c>
    </row>
    <row r="2" spans="1:24" ht="13.5" customHeight="1" x14ac:dyDescent="0.2">
      <c r="B2" s="146" t="s">
        <v>210</v>
      </c>
    </row>
    <row r="3" spans="1:24" ht="13.5" customHeight="1" thickBot="1" x14ac:dyDescent="0.25">
      <c r="B3" s="1" t="s">
        <v>27</v>
      </c>
      <c r="K3" s="1" t="s">
        <v>133</v>
      </c>
      <c r="Q3" s="1" t="s">
        <v>200</v>
      </c>
      <c r="S3"/>
    </row>
    <row r="4" spans="1:24" ht="13.5" customHeight="1" thickBot="1" x14ac:dyDescent="0.25">
      <c r="B4" s="125" t="s">
        <v>97</v>
      </c>
      <c r="C4" s="126" t="s">
        <v>98</v>
      </c>
      <c r="D4" s="772" t="s">
        <v>49</v>
      </c>
      <c r="E4" s="773"/>
      <c r="K4" s="129"/>
      <c r="L4" s="130"/>
      <c r="M4" s="126" t="s">
        <v>30</v>
      </c>
      <c r="N4" s="772" t="s">
        <v>49</v>
      </c>
      <c r="O4" s="774"/>
      <c r="Q4" s="779" t="s">
        <v>116</v>
      </c>
      <c r="R4" s="775" t="s">
        <v>117</v>
      </c>
      <c r="S4" s="776"/>
      <c r="X4"/>
    </row>
    <row r="5" spans="1:24" ht="13.5" customHeight="1" thickTop="1" thickBot="1" x14ac:dyDescent="0.25">
      <c r="B5" s="78" t="s">
        <v>79</v>
      </c>
      <c r="C5" s="79">
        <f>$C$8-1</f>
        <v>45790</v>
      </c>
      <c r="D5" s="80" t="s">
        <v>110</v>
      </c>
      <c r="E5" s="81">
        <f>YEAR(DATE(YEAR(C5),MONTH(C5)-2,0))</f>
        <v>2025</v>
      </c>
      <c r="K5" s="38" t="str">
        <f>MATCH(L5,$N$15:$N$27,0)&amp;"ヶ月目"</f>
        <v>1ヶ月目</v>
      </c>
      <c r="L5" s="82" t="str">
        <f>VLOOKUP(YEAR(C5)&amp;"/"&amp;MONTH(C5),【研修日数】,1,FALSE)</f>
        <v>2025/5</v>
      </c>
      <c r="M5" s="31">
        <f>'9D･A9D費用試算'!$M$14</f>
        <v>0</v>
      </c>
      <c r="N5" s="37" t="s">
        <v>134</v>
      </c>
      <c r="O5" s="39" t="str">
        <f>VLOOKUP(B47,【日程表】,5,FALSE)</f>
        <v>TKC</v>
      </c>
      <c r="Q5" s="780"/>
      <c r="R5" s="148" t="s">
        <v>118</v>
      </c>
      <c r="S5" s="131" t="s">
        <v>124</v>
      </c>
      <c r="X5"/>
    </row>
    <row r="6" spans="1:24" ht="13.5" customHeight="1" thickTop="1" x14ac:dyDescent="0.2">
      <c r="B6" s="5" t="s">
        <v>7</v>
      </c>
      <c r="C6" s="133">
        <f>'9D･A9D費用試算'!$F$12</f>
        <v>54</v>
      </c>
      <c r="D6" s="6"/>
      <c r="E6" s="7"/>
      <c r="K6" s="83" t="str">
        <f>IF(L6="","",MATCH(L6,$N$15:$N$27,0)&amp;"ヶ月目")</f>
        <v>1ヶ月目</v>
      </c>
      <c r="L6" s="82" t="str">
        <f>IF(C10=0,"",VLOOKUP(YEAR(C10)&amp;"/"&amp;MONTH(C10),【研修日数】,1,FALSE))</f>
        <v>2025/5</v>
      </c>
      <c r="M6" s="31">
        <f>'9D･A9D費用試算'!$M$15</f>
        <v>0</v>
      </c>
      <c r="N6" s="84" t="s">
        <v>121</v>
      </c>
      <c r="O6" s="39"/>
      <c r="Q6" s="88" t="s">
        <v>119</v>
      </c>
      <c r="R6" s="89">
        <v>2630</v>
      </c>
      <c r="S6" s="90"/>
      <c r="X6"/>
    </row>
    <row r="7" spans="1:24" ht="13.5" customHeight="1" thickBot="1" x14ac:dyDescent="0.25">
      <c r="B7" s="64" t="s">
        <v>8</v>
      </c>
      <c r="C7" s="590" t="str">
        <f>VLOOKUP(B47,【日程表】,2,FALSE)</f>
        <v>2025/05/14～2025/05/22(9日・TKC)</v>
      </c>
      <c r="D7" s="1" t="s">
        <v>278</v>
      </c>
      <c r="E7" s="65"/>
      <c r="K7" s="40" t="str">
        <f>MATCH(L7,$N$15:$N$27,0)&amp;"ヶ月目"</f>
        <v>3ヶ月目</v>
      </c>
      <c r="L7" s="28" t="str">
        <f>VLOOKUP(YEAR(C14)&amp;"/"&amp;MONTH(C14),【研修日数】,1,FALSE)</f>
        <v>2025/7</v>
      </c>
      <c r="M7" s="29">
        <f>'9D･A9D費用試算'!$M$16</f>
        <v>0</v>
      </c>
      <c r="N7" s="30" t="s">
        <v>122</v>
      </c>
      <c r="O7" s="41"/>
      <c r="Q7" s="34" t="s">
        <v>120</v>
      </c>
      <c r="R7" s="35"/>
      <c r="S7" s="36">
        <v>890</v>
      </c>
      <c r="X7"/>
    </row>
    <row r="8" spans="1:24" ht="13.5" customHeight="1" thickBot="1" x14ac:dyDescent="0.25">
      <c r="B8" s="20" t="s">
        <v>57</v>
      </c>
      <c r="C8" s="23">
        <f>VLOOKUP($B$47,【日程表】,3,FALSE)</f>
        <v>45791</v>
      </c>
      <c r="D8" s="76"/>
      <c r="E8" s="25"/>
      <c r="K8" s="777" t="s">
        <v>4</v>
      </c>
      <c r="L8" s="778"/>
      <c r="M8" s="85">
        <f>SUM(M5:M7)</f>
        <v>0</v>
      </c>
      <c r="N8" s="86"/>
      <c r="O8" s="87"/>
      <c r="X8"/>
    </row>
    <row r="9" spans="1:24" ht="13.5" customHeight="1" x14ac:dyDescent="0.2">
      <c r="B9" s="74" t="s">
        <v>113</v>
      </c>
      <c r="C9" s="75">
        <f>VLOOKUP(B47,【日程表】,6,FALSE)</f>
        <v>10</v>
      </c>
      <c r="D9" s="76" t="s">
        <v>99</v>
      </c>
      <c r="E9" s="77"/>
      <c r="X9"/>
    </row>
    <row r="10" spans="1:24" ht="13.5" customHeight="1" x14ac:dyDescent="0.2">
      <c r="B10" s="21" t="s">
        <v>58</v>
      </c>
      <c r="C10" s="24">
        <f>VLOOKUP($B$47,【日程表】,4,FALSE)</f>
        <v>45799</v>
      </c>
      <c r="D10" s="26"/>
      <c r="E10" s="27"/>
      <c r="X10"/>
    </row>
    <row r="11" spans="1:24" ht="13.5" customHeight="1" thickBot="1" x14ac:dyDescent="0.25">
      <c r="B11" s="142" t="s">
        <v>201</v>
      </c>
      <c r="C11" s="143" t="str">
        <f>IF(C9&gt;11,$C$10-13,"")</f>
        <v/>
      </c>
      <c r="D11" s="143" t="str">
        <f>IF(C11="","",$C$11+2)</f>
        <v/>
      </c>
      <c r="E11" s="144"/>
      <c r="K11" s="1" t="s">
        <v>28</v>
      </c>
      <c r="L11" s="3"/>
      <c r="P11"/>
      <c r="X11"/>
    </row>
    <row r="12" spans="1:24" ht="13.5" customHeight="1" x14ac:dyDescent="0.2">
      <c r="B12" s="66" t="s">
        <v>55</v>
      </c>
      <c r="C12" s="67">
        <f>IF(C13=0,0,C10+1)</f>
        <v>45800</v>
      </c>
      <c r="D12" s="68"/>
      <c r="E12" s="69"/>
      <c r="K12" s="784"/>
      <c r="L12" s="766" t="s">
        <v>103</v>
      </c>
      <c r="M12" s="766" t="s">
        <v>104</v>
      </c>
      <c r="N12" s="766" t="s">
        <v>107</v>
      </c>
      <c r="O12" s="766" t="s">
        <v>106</v>
      </c>
      <c r="P12" s="781" t="s">
        <v>105</v>
      </c>
      <c r="Q12" s="766" t="s">
        <v>70</v>
      </c>
      <c r="R12" s="766" t="s">
        <v>60</v>
      </c>
      <c r="S12" s="766" t="s">
        <v>100</v>
      </c>
      <c r="T12" s="781" t="s">
        <v>168</v>
      </c>
      <c r="U12" s="766" t="s">
        <v>62</v>
      </c>
      <c r="V12" s="766" t="s">
        <v>64</v>
      </c>
      <c r="W12" s="769" t="s">
        <v>63</v>
      </c>
      <c r="X12"/>
    </row>
    <row r="13" spans="1:24" ht="13.5" customHeight="1" x14ac:dyDescent="0.2">
      <c r="B13" s="21" t="s">
        <v>113</v>
      </c>
      <c r="C13" s="22">
        <f>$C$6-$C$9</f>
        <v>44</v>
      </c>
      <c r="D13" s="26"/>
      <c r="E13" s="27"/>
      <c r="K13" s="785"/>
      <c r="L13" s="767"/>
      <c r="M13" s="767"/>
      <c r="N13" s="767"/>
      <c r="O13" s="767"/>
      <c r="P13" s="782"/>
      <c r="Q13" s="767"/>
      <c r="R13" s="767"/>
      <c r="S13" s="767"/>
      <c r="T13" s="782"/>
      <c r="U13" s="767"/>
      <c r="V13" s="767"/>
      <c r="W13" s="770"/>
      <c r="X13"/>
    </row>
    <row r="14" spans="1:24" ht="13.5" customHeight="1" thickBot="1" x14ac:dyDescent="0.25">
      <c r="B14" s="70" t="s">
        <v>108</v>
      </c>
      <c r="C14" s="71">
        <f>C10+C13</f>
        <v>45843</v>
      </c>
      <c r="D14" s="72" t="s">
        <v>110</v>
      </c>
      <c r="E14" s="73">
        <f>YEAR(DATE(YEAR(C14),MONTH(C14)-2,0))</f>
        <v>2025</v>
      </c>
      <c r="K14" s="786"/>
      <c r="L14" s="768"/>
      <c r="M14" s="768"/>
      <c r="N14" s="768"/>
      <c r="O14" s="768"/>
      <c r="P14" s="783"/>
      <c r="Q14" s="768"/>
      <c r="R14" s="768"/>
      <c r="S14" s="768"/>
      <c r="T14" s="783"/>
      <c r="U14" s="768"/>
      <c r="V14" s="768"/>
      <c r="W14" s="771"/>
      <c r="X14"/>
    </row>
    <row r="15" spans="1:24" ht="13.5" customHeight="1" thickTop="1" x14ac:dyDescent="0.2">
      <c r="K15" s="91" t="s">
        <v>12</v>
      </c>
      <c r="L15" s="92">
        <f>YEAR(C5)</f>
        <v>2025</v>
      </c>
      <c r="M15" s="93">
        <f>MONTH(C5)</f>
        <v>5</v>
      </c>
      <c r="N15" s="94" t="str">
        <f>L15&amp;"/"&amp;M15</f>
        <v>2025/5</v>
      </c>
      <c r="O15" s="93">
        <f t="shared" ref="O15:O27" si="0">VLOOKUP(M15,【月別標準日数】,3,FALSE)</f>
        <v>31</v>
      </c>
      <c r="P15" s="79">
        <f>DATE(L15,M15,O15)</f>
        <v>45808</v>
      </c>
      <c r="Q15" s="95" t="str">
        <f>IF(OR(MOD(YEAR(P15),400)=0,AND(MOD(YEAR(P15),4)=0,MOD(YEAR(P15),100)&lt;&gt;0,MONTH(P15)=2)),"○","×")</f>
        <v>×</v>
      </c>
      <c r="R15" s="96">
        <f t="shared" ref="R15:R27" si="1">IF(Q15="×",P15,P15+1)</f>
        <v>45808</v>
      </c>
      <c r="S15" s="97">
        <f t="shared" ref="S15:S27" si="2">DAY(R15)</f>
        <v>31</v>
      </c>
      <c r="T15" s="98">
        <f t="shared" ref="T15:T27" si="3">DATEDIF($C$5,R15,"D")+1</f>
        <v>19</v>
      </c>
      <c r="U15" s="99">
        <f>IF(T15&gt;=$C$6,$C$6,T15)</f>
        <v>19</v>
      </c>
      <c r="V15" s="99">
        <f>IF(($C$9-V14)&gt;U15,U15,($C$9-V14))</f>
        <v>10</v>
      </c>
      <c r="W15" s="100">
        <f t="shared" ref="W15:W27" si="4">U15-V15</f>
        <v>9</v>
      </c>
      <c r="X15"/>
    </row>
    <row r="16" spans="1:24" ht="13.5" customHeight="1" thickBot="1" x14ac:dyDescent="0.2">
      <c r="H16" s="3"/>
      <c r="I16" s="3"/>
      <c r="J16" s="3"/>
      <c r="K16" s="9" t="s">
        <v>13</v>
      </c>
      <c r="L16" s="10">
        <f t="shared" ref="L16:L27" si="5">IF(M15=12,L15+1,L15)</f>
        <v>2025</v>
      </c>
      <c r="M16" s="11">
        <f>IF(M15=12,1,M15+1)</f>
        <v>6</v>
      </c>
      <c r="N16" s="12" t="str">
        <f t="shared" ref="N16:N27" si="6">L16&amp;"/"&amp;M16</f>
        <v>2025/6</v>
      </c>
      <c r="O16" s="11">
        <f t="shared" si="0"/>
        <v>30</v>
      </c>
      <c r="P16" s="8">
        <f t="shared" ref="P16:P27" si="7">DATE(L16,M16,O16)</f>
        <v>45838</v>
      </c>
      <c r="Q16" s="13" t="str">
        <f t="shared" ref="Q16:Q27" si="8">IF(OR(MOD(YEAR(P16),400)=0,AND(MOD(YEAR(P16),4)=0,MOD(YEAR(P16),100)&lt;&gt;0,MONTH(P16)=2)),"○","×")</f>
        <v>×</v>
      </c>
      <c r="R16" s="14">
        <f t="shared" si="1"/>
        <v>45838</v>
      </c>
      <c r="S16" s="15">
        <f t="shared" si="2"/>
        <v>30</v>
      </c>
      <c r="T16" s="16">
        <f t="shared" si="3"/>
        <v>49</v>
      </c>
      <c r="U16" s="17">
        <f>IF(U15=$C$6,0,IF(T16&gt;$C$6,$C$6-T15,S16))</f>
        <v>30</v>
      </c>
      <c r="V16" s="17">
        <f>IF(($C$9-V15)&gt;U16,U16,($C$9-V15))</f>
        <v>0</v>
      </c>
      <c r="W16" s="18">
        <f t="shared" si="4"/>
        <v>30</v>
      </c>
    </row>
    <row r="17" spans="1:23" ht="13.5" customHeight="1" x14ac:dyDescent="0.15">
      <c r="B17" s="127" t="s">
        <v>149</v>
      </c>
      <c r="C17" s="119" t="s">
        <v>146</v>
      </c>
      <c r="D17" s="611">
        <v>800</v>
      </c>
      <c r="H17" s="3"/>
      <c r="I17" s="3"/>
      <c r="J17" s="3"/>
      <c r="K17" s="9" t="s">
        <v>14</v>
      </c>
      <c r="L17" s="10">
        <f t="shared" si="5"/>
        <v>2025</v>
      </c>
      <c r="M17" s="11">
        <f t="shared" ref="M17:M27" si="9">IF(M16=12,1,M16+1)</f>
        <v>7</v>
      </c>
      <c r="N17" s="12" t="str">
        <f t="shared" si="6"/>
        <v>2025/7</v>
      </c>
      <c r="O17" s="11">
        <f t="shared" si="0"/>
        <v>31</v>
      </c>
      <c r="P17" s="8">
        <f t="shared" si="7"/>
        <v>45869</v>
      </c>
      <c r="Q17" s="13" t="str">
        <f t="shared" si="8"/>
        <v>×</v>
      </c>
      <c r="R17" s="14">
        <f t="shared" si="1"/>
        <v>45869</v>
      </c>
      <c r="S17" s="15">
        <f t="shared" si="2"/>
        <v>31</v>
      </c>
      <c r="T17" s="16">
        <f t="shared" si="3"/>
        <v>80</v>
      </c>
      <c r="U17" s="17">
        <f>IF(SUM(U15:U16)=$C$6,0,IF(T17&gt;$C$6,$C$6-T16,S17))</f>
        <v>5</v>
      </c>
      <c r="V17" s="17">
        <f>IF(($C$9-SUM($V$15:V16))&gt;U17,U17,($C$9-SUM($V$15:V16)))</f>
        <v>0</v>
      </c>
      <c r="W17" s="18">
        <f t="shared" si="4"/>
        <v>5</v>
      </c>
    </row>
    <row r="18" spans="1:23" ht="13.5" customHeight="1" x14ac:dyDescent="0.15">
      <c r="A18" s="3"/>
      <c r="B18" s="128"/>
      <c r="C18" s="33" t="s">
        <v>147</v>
      </c>
      <c r="D18" s="612">
        <v>1000</v>
      </c>
      <c r="H18" s="3"/>
      <c r="I18" s="3"/>
      <c r="J18" s="3"/>
      <c r="K18" s="9" t="s">
        <v>15</v>
      </c>
      <c r="L18" s="10">
        <f t="shared" si="5"/>
        <v>2025</v>
      </c>
      <c r="M18" s="11">
        <f t="shared" si="9"/>
        <v>8</v>
      </c>
      <c r="N18" s="12" t="str">
        <f t="shared" si="6"/>
        <v>2025/8</v>
      </c>
      <c r="O18" s="11">
        <f t="shared" si="0"/>
        <v>31</v>
      </c>
      <c r="P18" s="8">
        <f t="shared" si="7"/>
        <v>45900</v>
      </c>
      <c r="Q18" s="13" t="str">
        <f t="shared" si="8"/>
        <v>×</v>
      </c>
      <c r="R18" s="14">
        <f t="shared" si="1"/>
        <v>45900</v>
      </c>
      <c r="S18" s="15">
        <f t="shared" si="2"/>
        <v>31</v>
      </c>
      <c r="T18" s="16">
        <f t="shared" si="3"/>
        <v>111</v>
      </c>
      <c r="U18" s="17">
        <f>IF(SUM(U15:U17)=$C$6,0,IF(T18&gt;$C$6,$C$6-T17,S18))</f>
        <v>0</v>
      </c>
      <c r="V18" s="17">
        <f>IF(($C$9-SUM($V$15:V17))&gt;U18,U18,($C$9-SUM($V$15:V17)))</f>
        <v>0</v>
      </c>
      <c r="W18" s="18">
        <f t="shared" si="4"/>
        <v>0</v>
      </c>
    </row>
    <row r="19" spans="1:23" ht="13.5" customHeight="1" x14ac:dyDescent="0.15">
      <c r="A19" s="3"/>
      <c r="B19" s="128"/>
      <c r="C19" s="124" t="s">
        <v>148</v>
      </c>
      <c r="D19" s="613">
        <v>1300</v>
      </c>
      <c r="E19" s="474"/>
      <c r="H19" s="3"/>
      <c r="I19" s="3"/>
      <c r="J19" s="3"/>
      <c r="K19" s="9" t="s">
        <v>16</v>
      </c>
      <c r="L19" s="10">
        <f t="shared" si="5"/>
        <v>2025</v>
      </c>
      <c r="M19" s="11">
        <f t="shared" si="9"/>
        <v>9</v>
      </c>
      <c r="N19" s="12" t="str">
        <f t="shared" si="6"/>
        <v>2025/9</v>
      </c>
      <c r="O19" s="11">
        <f t="shared" si="0"/>
        <v>30</v>
      </c>
      <c r="P19" s="8">
        <f t="shared" si="7"/>
        <v>45930</v>
      </c>
      <c r="Q19" s="13" t="str">
        <f t="shared" si="8"/>
        <v>×</v>
      </c>
      <c r="R19" s="14">
        <f t="shared" si="1"/>
        <v>45930</v>
      </c>
      <c r="S19" s="15">
        <f t="shared" si="2"/>
        <v>30</v>
      </c>
      <c r="T19" s="16">
        <f t="shared" si="3"/>
        <v>141</v>
      </c>
      <c r="U19" s="17">
        <f>IF(SUM(U15:U18)=$C$6,0,IF(T19&gt;$C$6,$C$6-T18,S19))</f>
        <v>0</v>
      </c>
      <c r="V19" s="17">
        <f>IF(($C$9-SUM($V$15:V18))&gt;U19,U19,($C$9-SUM($V$15:V18)))</f>
        <v>0</v>
      </c>
      <c r="W19" s="18">
        <f t="shared" si="4"/>
        <v>0</v>
      </c>
    </row>
    <row r="20" spans="1:23" ht="13.5" customHeight="1" thickBot="1" x14ac:dyDescent="0.2">
      <c r="A20" s="3"/>
      <c r="B20" s="592" t="s">
        <v>2</v>
      </c>
      <c r="C20" s="70" t="s">
        <v>2</v>
      </c>
      <c r="D20" s="623">
        <v>1000</v>
      </c>
      <c r="H20" s="3"/>
      <c r="I20" s="3"/>
      <c r="J20" s="3"/>
      <c r="K20" s="9" t="s">
        <v>17</v>
      </c>
      <c r="L20" s="10">
        <f t="shared" si="5"/>
        <v>2025</v>
      </c>
      <c r="M20" s="11">
        <f t="shared" si="9"/>
        <v>10</v>
      </c>
      <c r="N20" s="12" t="str">
        <f t="shared" si="6"/>
        <v>2025/10</v>
      </c>
      <c r="O20" s="11">
        <f t="shared" si="0"/>
        <v>31</v>
      </c>
      <c r="P20" s="8">
        <f t="shared" si="7"/>
        <v>45961</v>
      </c>
      <c r="Q20" s="13" t="str">
        <f t="shared" si="8"/>
        <v>×</v>
      </c>
      <c r="R20" s="14">
        <f t="shared" si="1"/>
        <v>45961</v>
      </c>
      <c r="S20" s="15">
        <f t="shared" si="2"/>
        <v>31</v>
      </c>
      <c r="T20" s="16">
        <f t="shared" si="3"/>
        <v>172</v>
      </c>
      <c r="U20" s="17">
        <f>IF(SUM(U15:U19)=$C$6,0,IF(T20&gt;$C$6,$C$6-T19,S20))</f>
        <v>0</v>
      </c>
      <c r="V20" s="17">
        <f>IF(($C$9-SUM($V$15:V19))&gt;U20,U20,($C$9-SUM($V$15:V19)))</f>
        <v>0</v>
      </c>
      <c r="W20" s="18">
        <f t="shared" si="4"/>
        <v>0</v>
      </c>
    </row>
    <row r="21" spans="1:23" ht="13.5" customHeight="1" x14ac:dyDescent="0.15">
      <c r="A21" s="3"/>
      <c r="B21" s="3"/>
      <c r="C21" s="3"/>
      <c r="D21" s="3"/>
      <c r="H21" s="3"/>
      <c r="I21" s="3"/>
      <c r="J21" s="3"/>
      <c r="K21" s="9" t="s">
        <v>18</v>
      </c>
      <c r="L21" s="10">
        <f t="shared" si="5"/>
        <v>2025</v>
      </c>
      <c r="M21" s="11">
        <f t="shared" si="9"/>
        <v>11</v>
      </c>
      <c r="N21" s="12" t="str">
        <f t="shared" si="6"/>
        <v>2025/11</v>
      </c>
      <c r="O21" s="11">
        <f t="shared" si="0"/>
        <v>30</v>
      </c>
      <c r="P21" s="8">
        <f t="shared" si="7"/>
        <v>45991</v>
      </c>
      <c r="Q21" s="13" t="str">
        <f t="shared" si="8"/>
        <v>×</v>
      </c>
      <c r="R21" s="14">
        <f t="shared" si="1"/>
        <v>45991</v>
      </c>
      <c r="S21" s="15">
        <f t="shared" si="2"/>
        <v>30</v>
      </c>
      <c r="T21" s="16">
        <f t="shared" si="3"/>
        <v>202</v>
      </c>
      <c r="U21" s="17">
        <f>IF(SUM(U15:U20)=$C$6,0,IF(T21&gt;$C$6,$C$6-T20,S21))</f>
        <v>0</v>
      </c>
      <c r="V21" s="17">
        <f>IF(($C$9-SUM($V$15:V20))&gt;U21,U21,($C$9-SUM($V$15:V20)))</f>
        <v>0</v>
      </c>
      <c r="W21" s="18">
        <f t="shared" si="4"/>
        <v>0</v>
      </c>
    </row>
    <row r="22" spans="1:23" ht="13.5" customHeight="1" x14ac:dyDescent="0.15">
      <c r="A22" s="3"/>
      <c r="B22" s="3"/>
      <c r="C22" s="3"/>
      <c r="D22" s="3"/>
      <c r="E22" s="3"/>
      <c r="H22" s="3"/>
      <c r="I22" s="3"/>
      <c r="J22" s="3"/>
      <c r="K22" s="9" t="s">
        <v>19</v>
      </c>
      <c r="L22" s="10">
        <f t="shared" si="5"/>
        <v>2025</v>
      </c>
      <c r="M22" s="11">
        <f t="shared" si="9"/>
        <v>12</v>
      </c>
      <c r="N22" s="12" t="str">
        <f t="shared" si="6"/>
        <v>2025/12</v>
      </c>
      <c r="O22" s="11">
        <f t="shared" si="0"/>
        <v>31</v>
      </c>
      <c r="P22" s="8">
        <f t="shared" si="7"/>
        <v>46022</v>
      </c>
      <c r="Q22" s="13" t="str">
        <f t="shared" si="8"/>
        <v>×</v>
      </c>
      <c r="R22" s="14">
        <f t="shared" si="1"/>
        <v>46022</v>
      </c>
      <c r="S22" s="15">
        <f t="shared" si="2"/>
        <v>31</v>
      </c>
      <c r="T22" s="16">
        <f t="shared" si="3"/>
        <v>233</v>
      </c>
      <c r="U22" s="17">
        <f>IF(SUM(U15:U21)=$C$6,0,IF(T22&gt;$C$6,$C$6-T21,S22))</f>
        <v>0</v>
      </c>
      <c r="V22" s="17">
        <f>IF(($C$9-SUM($V$15:V21))&gt;U22,U22,($C$9-SUM($V$15:V21)))</f>
        <v>0</v>
      </c>
      <c r="W22" s="18">
        <f t="shared" si="4"/>
        <v>0</v>
      </c>
    </row>
    <row r="23" spans="1:23" ht="13.5" customHeight="1" x14ac:dyDescent="0.15">
      <c r="A23" s="3"/>
      <c r="B23" s="1" t="s">
        <v>135</v>
      </c>
      <c r="E23" s="3"/>
      <c r="F23" s="3"/>
      <c r="G23" s="3"/>
      <c r="H23" s="3"/>
      <c r="I23" s="3"/>
      <c r="J23" s="3"/>
      <c r="K23" s="9" t="s">
        <v>20</v>
      </c>
      <c r="L23" s="10">
        <f t="shared" si="5"/>
        <v>2026</v>
      </c>
      <c r="M23" s="11">
        <f t="shared" si="9"/>
        <v>1</v>
      </c>
      <c r="N23" s="12" t="str">
        <f t="shared" si="6"/>
        <v>2026/1</v>
      </c>
      <c r="O23" s="11">
        <f t="shared" si="0"/>
        <v>31</v>
      </c>
      <c r="P23" s="8">
        <f t="shared" si="7"/>
        <v>46053</v>
      </c>
      <c r="Q23" s="13" t="str">
        <f t="shared" si="8"/>
        <v>×</v>
      </c>
      <c r="R23" s="14">
        <f t="shared" si="1"/>
        <v>46053</v>
      </c>
      <c r="S23" s="15">
        <f t="shared" si="2"/>
        <v>31</v>
      </c>
      <c r="T23" s="16">
        <f t="shared" si="3"/>
        <v>264</v>
      </c>
      <c r="U23" s="17">
        <f>IF(SUM(U15:U22)=$C$6,0,IF(T23&gt;$C$6,$C$6-T22,S23))</f>
        <v>0</v>
      </c>
      <c r="V23" s="17">
        <f>IF(($C$9-SUM($V$15:V22))&gt;U23,U23,($C$9-SUM($V$15:V22)))</f>
        <v>0</v>
      </c>
      <c r="W23" s="18">
        <f t="shared" si="4"/>
        <v>0</v>
      </c>
    </row>
    <row r="24" spans="1:23" ht="13.5" customHeight="1" thickBot="1" x14ac:dyDescent="0.2">
      <c r="A24" s="3"/>
      <c r="B24" s="42">
        <v>3</v>
      </c>
      <c r="H24" s="3"/>
      <c r="I24" s="3"/>
      <c r="J24" s="3"/>
      <c r="K24" s="9" t="s">
        <v>21</v>
      </c>
      <c r="L24" s="10">
        <f t="shared" si="5"/>
        <v>2026</v>
      </c>
      <c r="M24" s="11">
        <f t="shared" si="9"/>
        <v>2</v>
      </c>
      <c r="N24" s="12" t="str">
        <f t="shared" si="6"/>
        <v>2026/2</v>
      </c>
      <c r="O24" s="11">
        <f t="shared" si="0"/>
        <v>28</v>
      </c>
      <c r="P24" s="8">
        <f t="shared" si="7"/>
        <v>46081</v>
      </c>
      <c r="Q24" s="13" t="str">
        <f t="shared" si="8"/>
        <v>×</v>
      </c>
      <c r="R24" s="14">
        <f t="shared" si="1"/>
        <v>46081</v>
      </c>
      <c r="S24" s="15">
        <f t="shared" si="2"/>
        <v>28</v>
      </c>
      <c r="T24" s="16">
        <f t="shared" si="3"/>
        <v>292</v>
      </c>
      <c r="U24" s="17">
        <f>IF(SUM(U15:U23)=$C$6,0,IF(T24&gt;$C$6,$C$6-T23,S24))</f>
        <v>0</v>
      </c>
      <c r="V24" s="17">
        <f>IF(($C$9-SUM($V$15:V23))&gt;U24,U24,($C$9-SUM($V$15:V23)))</f>
        <v>0</v>
      </c>
      <c r="W24" s="18">
        <f t="shared" si="4"/>
        <v>0</v>
      </c>
    </row>
    <row r="25" spans="1:23" ht="13.5" customHeight="1" thickBot="1" x14ac:dyDescent="0.2">
      <c r="A25" s="3"/>
      <c r="B25" s="129" t="s">
        <v>56</v>
      </c>
      <c r="C25" s="125" t="s">
        <v>71</v>
      </c>
      <c r="D25" s="149" t="s">
        <v>150</v>
      </c>
      <c r="H25" s="3"/>
      <c r="I25" s="3"/>
      <c r="J25" s="3"/>
      <c r="K25" s="9" t="s">
        <v>22</v>
      </c>
      <c r="L25" s="10">
        <f t="shared" si="5"/>
        <v>2026</v>
      </c>
      <c r="M25" s="11">
        <f t="shared" si="9"/>
        <v>3</v>
      </c>
      <c r="N25" s="12" t="str">
        <f t="shared" si="6"/>
        <v>2026/3</v>
      </c>
      <c r="O25" s="11">
        <f t="shared" si="0"/>
        <v>31</v>
      </c>
      <c r="P25" s="8">
        <f t="shared" si="7"/>
        <v>46112</v>
      </c>
      <c r="Q25" s="13" t="str">
        <f t="shared" si="8"/>
        <v>×</v>
      </c>
      <c r="R25" s="14">
        <f t="shared" si="1"/>
        <v>46112</v>
      </c>
      <c r="S25" s="15">
        <f t="shared" si="2"/>
        <v>31</v>
      </c>
      <c r="T25" s="16">
        <f t="shared" si="3"/>
        <v>323</v>
      </c>
      <c r="U25" s="17">
        <f>IF(SUM(U15:U24)=$C$6,0,IF(T25&gt;$C$6,$C$6-T24,S25))</f>
        <v>0</v>
      </c>
      <c r="V25" s="17">
        <f>IF(($C$9-SUM($V$15:V24))&gt;U25,U25,($C$9-SUM($V$15:V24)))</f>
        <v>0</v>
      </c>
      <c r="W25" s="18">
        <f t="shared" si="4"/>
        <v>0</v>
      </c>
    </row>
    <row r="26" spans="1:23" ht="13.5" customHeight="1" thickTop="1" x14ac:dyDescent="0.15">
      <c r="A26" s="3"/>
      <c r="B26" s="121">
        <v>1</v>
      </c>
      <c r="C26" s="33" t="s">
        <v>117</v>
      </c>
      <c r="D26" s="614">
        <v>8500</v>
      </c>
      <c r="H26" s="3"/>
      <c r="I26" s="3"/>
      <c r="J26" s="3"/>
      <c r="K26" s="9" t="s">
        <v>23</v>
      </c>
      <c r="L26" s="10">
        <f t="shared" si="5"/>
        <v>2026</v>
      </c>
      <c r="M26" s="11">
        <f t="shared" si="9"/>
        <v>4</v>
      </c>
      <c r="N26" s="12" t="str">
        <f t="shared" si="6"/>
        <v>2026/4</v>
      </c>
      <c r="O26" s="11">
        <f t="shared" si="0"/>
        <v>30</v>
      </c>
      <c r="P26" s="8">
        <f t="shared" si="7"/>
        <v>46142</v>
      </c>
      <c r="Q26" s="13" t="str">
        <f t="shared" si="8"/>
        <v>×</v>
      </c>
      <c r="R26" s="14">
        <f t="shared" si="1"/>
        <v>46142</v>
      </c>
      <c r="S26" s="15">
        <f t="shared" si="2"/>
        <v>30</v>
      </c>
      <c r="T26" s="16">
        <f t="shared" si="3"/>
        <v>353</v>
      </c>
      <c r="U26" s="17">
        <f>IF(SUM(U15:U25)=$C$6,0,IF(T26&gt;=$C$6,$C$6-T25,S26))</f>
        <v>0</v>
      </c>
      <c r="V26" s="17">
        <f>IF(($C$9-SUM($V$15:V25))&gt;U26,U26,($C$9-SUM($V$15:V25)))</f>
        <v>0</v>
      </c>
      <c r="W26" s="18">
        <f t="shared" si="4"/>
        <v>0</v>
      </c>
    </row>
    <row r="27" spans="1:23" ht="13.5" customHeight="1" thickBot="1" x14ac:dyDescent="0.2">
      <c r="A27" s="3"/>
      <c r="B27" s="121">
        <v>2</v>
      </c>
      <c r="C27" s="33" t="s">
        <v>47</v>
      </c>
      <c r="D27" s="521">
        <v>1570</v>
      </c>
      <c r="H27" s="3"/>
      <c r="I27" s="3"/>
      <c r="J27" s="3"/>
      <c r="K27" s="101" t="s">
        <v>24</v>
      </c>
      <c r="L27" s="102">
        <f t="shared" si="5"/>
        <v>2026</v>
      </c>
      <c r="M27" s="103">
        <f t="shared" si="9"/>
        <v>5</v>
      </c>
      <c r="N27" s="104" t="str">
        <f t="shared" si="6"/>
        <v>2026/5</v>
      </c>
      <c r="O27" s="103">
        <f t="shared" si="0"/>
        <v>31</v>
      </c>
      <c r="P27" s="71">
        <f t="shared" si="7"/>
        <v>46173</v>
      </c>
      <c r="Q27" s="105" t="str">
        <f t="shared" si="8"/>
        <v>×</v>
      </c>
      <c r="R27" s="106">
        <f t="shared" si="1"/>
        <v>46173</v>
      </c>
      <c r="S27" s="107">
        <f t="shared" si="2"/>
        <v>31</v>
      </c>
      <c r="T27" s="108">
        <f t="shared" si="3"/>
        <v>384</v>
      </c>
      <c r="U27" s="109">
        <f>IF(SUM(U15:U26)=$C$6,0,IF(T27&gt;$C$6,$C$6-T26,S27))</f>
        <v>0</v>
      </c>
      <c r="V27" s="109">
        <f>IF(($C$9-SUM($V$15:V26))&gt;U27,U27,($C$9-SUM($V$15:V26)))</f>
        <v>0</v>
      </c>
      <c r="W27" s="110">
        <f t="shared" si="4"/>
        <v>0</v>
      </c>
    </row>
    <row r="28" spans="1:23" ht="13.5" customHeight="1" thickBot="1" x14ac:dyDescent="0.2">
      <c r="A28" s="3"/>
      <c r="B28" s="122">
        <v>3</v>
      </c>
      <c r="C28" s="124" t="s">
        <v>48</v>
      </c>
      <c r="D28" s="613">
        <v>8500</v>
      </c>
      <c r="H28" s="3"/>
      <c r="I28" s="3"/>
      <c r="J28" s="3"/>
      <c r="T28" s="19" t="s">
        <v>4</v>
      </c>
      <c r="U28" s="134">
        <f>SUM(U15:U27)</f>
        <v>54</v>
      </c>
      <c r="V28" s="134">
        <f>SUM(V15:V27)</f>
        <v>10</v>
      </c>
      <c r="W28" s="135">
        <f>SUM(W15:W27)</f>
        <v>44</v>
      </c>
    </row>
    <row r="29" spans="1:23" ht="13.5" customHeight="1" thickBot="1" x14ac:dyDescent="0.2">
      <c r="A29" s="3"/>
      <c r="B29" s="123"/>
      <c r="C29" s="70" t="s">
        <v>155</v>
      </c>
      <c r="D29" s="120">
        <v>0</v>
      </c>
      <c r="H29" s="3"/>
      <c r="I29" s="3"/>
      <c r="J29" s="3"/>
    </row>
    <row r="30" spans="1:23" ht="13.5" customHeight="1" x14ac:dyDescent="0.15">
      <c r="A30" s="3"/>
      <c r="H30" s="3"/>
      <c r="I30" s="3"/>
      <c r="J30" s="3"/>
    </row>
    <row r="31" spans="1:23" ht="13.5" customHeight="1" thickBot="1" x14ac:dyDescent="0.2">
      <c r="A31" s="3"/>
      <c r="H31" s="3"/>
      <c r="I31" s="3"/>
      <c r="J31" s="3"/>
      <c r="K31" s="1" t="s">
        <v>102</v>
      </c>
      <c r="O31" s="1" t="s">
        <v>202</v>
      </c>
      <c r="S31" s="348" t="s">
        <v>241</v>
      </c>
    </row>
    <row r="32" spans="1:23" ht="13.5" customHeight="1" thickBot="1" x14ac:dyDescent="0.2">
      <c r="A32" s="3"/>
      <c r="B32" s="1" t="s">
        <v>153</v>
      </c>
      <c r="H32" s="3"/>
      <c r="I32" s="3"/>
      <c r="J32" s="3"/>
      <c r="K32" s="125" t="s">
        <v>56</v>
      </c>
      <c r="L32" s="126" t="s">
        <v>96</v>
      </c>
      <c r="M32" s="132" t="s">
        <v>101</v>
      </c>
      <c r="O32" s="137" t="s">
        <v>203</v>
      </c>
      <c r="P32" s="138" t="s">
        <v>203</v>
      </c>
      <c r="Q32" s="139" t="s">
        <v>113</v>
      </c>
      <c r="T32" s="32" t="s">
        <v>242</v>
      </c>
      <c r="U32" s="32" t="s">
        <v>243</v>
      </c>
    </row>
    <row r="33" spans="1:21" ht="13.5" customHeight="1" thickTop="1" thickBot="1" x14ac:dyDescent="0.2">
      <c r="A33" s="3"/>
      <c r="B33" s="4">
        <v>1</v>
      </c>
      <c r="C33" s="3"/>
      <c r="D33" s="3"/>
      <c r="E33" s="3"/>
      <c r="F33" s="3"/>
      <c r="G33" s="3"/>
      <c r="H33" s="3"/>
      <c r="I33" s="3"/>
      <c r="J33" s="3"/>
      <c r="K33" s="78">
        <v>1</v>
      </c>
      <c r="L33" s="112" t="s">
        <v>84</v>
      </c>
      <c r="M33" s="113">
        <v>31</v>
      </c>
      <c r="O33" s="91" t="str">
        <f>IF(C11="","",MONTH($C$11))</f>
        <v/>
      </c>
      <c r="P33" s="140" t="str">
        <f>IF(O33="","",MATCH(O33,$M$15:$M$27,0)&amp;"ヶ月目")</f>
        <v/>
      </c>
      <c r="Q33" s="113" t="str">
        <f>IF(O33="","",IF(O34="",2,1))</f>
        <v/>
      </c>
      <c r="S33" s="348" t="s">
        <v>244</v>
      </c>
      <c r="T33" s="32">
        <f>DATEDIF($C$5-1,$C$14,"M")</f>
        <v>1</v>
      </c>
      <c r="U33" s="32">
        <f>DATEDIF($C$5-1,$C$14,"MD")</f>
        <v>23</v>
      </c>
    </row>
    <row r="34" spans="1:21" ht="13.5" customHeight="1" thickBot="1" x14ac:dyDescent="0.2">
      <c r="A34" s="3"/>
      <c r="B34" s="779" t="s">
        <v>56</v>
      </c>
      <c r="C34" s="779" t="s">
        <v>154</v>
      </c>
      <c r="D34" s="793" t="s">
        <v>125</v>
      </c>
      <c r="E34" s="795" t="s">
        <v>126</v>
      </c>
      <c r="F34" s="779" t="s">
        <v>3</v>
      </c>
      <c r="G34" s="585" t="s">
        <v>275</v>
      </c>
      <c r="H34" s="585" t="s">
        <v>276</v>
      </c>
      <c r="I34" s="779" t="s">
        <v>291</v>
      </c>
      <c r="J34" s="3"/>
      <c r="K34" s="33">
        <v>2</v>
      </c>
      <c r="L34" s="114" t="s">
        <v>85</v>
      </c>
      <c r="M34" s="115">
        <v>28</v>
      </c>
      <c r="O34" s="101" t="str">
        <f>IF(O33="","",IF(MONTH($C$11)=MONTH($D$11),"",MONTH($D$11)))</f>
        <v/>
      </c>
      <c r="P34" s="141" t="str">
        <f>IF(O34="","",MATCH(O34,$M$15:$M$27,0)&amp;"ヶ月目")</f>
        <v/>
      </c>
      <c r="Q34" s="117" t="str">
        <f>IF(O34="","",1)</f>
        <v/>
      </c>
      <c r="S34" s="555" t="s">
        <v>245</v>
      </c>
      <c r="T34" s="556" t="s">
        <v>246</v>
      </c>
      <c r="U34" s="557" t="s">
        <v>247</v>
      </c>
    </row>
    <row r="35" spans="1:21" ht="13.5" customHeight="1" thickBot="1" x14ac:dyDescent="0.2">
      <c r="A35" s="3"/>
      <c r="B35" s="780"/>
      <c r="C35" s="780"/>
      <c r="D35" s="794"/>
      <c r="E35" s="796"/>
      <c r="F35" s="780"/>
      <c r="G35" s="586" t="s">
        <v>274</v>
      </c>
      <c r="H35" s="586" t="s">
        <v>277</v>
      </c>
      <c r="I35" s="780"/>
      <c r="J35" s="3"/>
      <c r="K35" s="33">
        <v>3</v>
      </c>
      <c r="L35" s="114" t="s">
        <v>86</v>
      </c>
      <c r="M35" s="115">
        <v>31</v>
      </c>
      <c r="S35" s="558" t="str">
        <f>IF($C$6=T35,"該当","")</f>
        <v/>
      </c>
      <c r="T35" s="559">
        <v>1</v>
      </c>
      <c r="U35" s="115">
        <v>590</v>
      </c>
    </row>
    <row r="36" spans="1:21" ht="36.6" thickTop="1" x14ac:dyDescent="0.15">
      <c r="A36" s="3"/>
      <c r="B36" s="5">
        <v>1</v>
      </c>
      <c r="C36" s="598" t="s">
        <v>282</v>
      </c>
      <c r="D36" s="606">
        <v>0.5</v>
      </c>
      <c r="E36" s="111">
        <f t="shared" ref="E36:E42" si="10">1-D36</f>
        <v>0.5</v>
      </c>
      <c r="F36" s="617">
        <v>3360</v>
      </c>
      <c r="G36" s="603">
        <v>189000</v>
      </c>
      <c r="H36" s="78">
        <f>G36*2</f>
        <v>378000</v>
      </c>
      <c r="I36" s="621" t="s">
        <v>292</v>
      </c>
      <c r="J36" s="3"/>
      <c r="K36" s="33">
        <v>4</v>
      </c>
      <c r="L36" s="114" t="s">
        <v>87</v>
      </c>
      <c r="M36" s="115">
        <v>30</v>
      </c>
      <c r="S36" s="558" t="str">
        <f>IF(AND($C$6&gt;T35,$C$6&lt;=T36),"該当","")</f>
        <v/>
      </c>
      <c r="T36" s="559">
        <v>2</v>
      </c>
      <c r="U36" s="115">
        <v>660</v>
      </c>
    </row>
    <row r="37" spans="1:21" ht="36" x14ac:dyDescent="0.15">
      <c r="A37" s="3"/>
      <c r="B37" s="33">
        <v>2</v>
      </c>
      <c r="C37" s="599" t="s">
        <v>283</v>
      </c>
      <c r="D37" s="607">
        <v>0.33333333333333331</v>
      </c>
      <c r="E37" s="118">
        <f t="shared" si="10"/>
        <v>0.66666666666666674</v>
      </c>
      <c r="F37" s="618">
        <v>3360</v>
      </c>
      <c r="G37" s="604">
        <v>214000</v>
      </c>
      <c r="H37" s="33">
        <f>G37*3/2</f>
        <v>321000</v>
      </c>
      <c r="I37" s="596" t="s">
        <v>292</v>
      </c>
      <c r="J37" s="3"/>
      <c r="K37" s="33">
        <v>5</v>
      </c>
      <c r="L37" s="114" t="s">
        <v>88</v>
      </c>
      <c r="M37" s="115">
        <v>31</v>
      </c>
      <c r="S37" s="558" t="str">
        <f t="shared" ref="S37:S61" si="11">IF(AND($C$6&gt;T36,$C$6&lt;=T37),"該当","")</f>
        <v/>
      </c>
      <c r="T37" s="559">
        <v>3</v>
      </c>
      <c r="U37" s="115">
        <v>810</v>
      </c>
    </row>
    <row r="38" spans="1:21" ht="36" x14ac:dyDescent="0.15">
      <c r="A38" s="3"/>
      <c r="B38" s="33">
        <v>3</v>
      </c>
      <c r="C38" s="600" t="s">
        <v>284</v>
      </c>
      <c r="D38" s="607">
        <v>0.66666666666666663</v>
      </c>
      <c r="E38" s="118">
        <f t="shared" si="10"/>
        <v>0.33333333333333337</v>
      </c>
      <c r="F38" s="618">
        <v>5190</v>
      </c>
      <c r="G38" s="604">
        <v>167000</v>
      </c>
      <c r="H38" s="33">
        <f>G38*3</f>
        <v>501000</v>
      </c>
      <c r="I38" s="596" t="s">
        <v>292</v>
      </c>
      <c r="J38" s="3"/>
      <c r="K38" s="33">
        <v>6</v>
      </c>
      <c r="L38" s="114" t="s">
        <v>89</v>
      </c>
      <c r="M38" s="115">
        <v>30</v>
      </c>
      <c r="S38" s="558" t="str">
        <f t="shared" si="11"/>
        <v/>
      </c>
      <c r="T38" s="559">
        <v>4</v>
      </c>
      <c r="U38" s="115">
        <v>940</v>
      </c>
    </row>
    <row r="39" spans="1:21" ht="36" x14ac:dyDescent="0.15">
      <c r="A39" s="3"/>
      <c r="B39" s="33">
        <v>4</v>
      </c>
      <c r="C39" s="601" t="s">
        <v>285</v>
      </c>
      <c r="D39" s="607">
        <v>0.66666666666666663</v>
      </c>
      <c r="E39" s="587">
        <f t="shared" si="10"/>
        <v>0.33333333333333337</v>
      </c>
      <c r="F39" s="618">
        <v>3360</v>
      </c>
      <c r="G39" s="604">
        <v>167000</v>
      </c>
      <c r="H39" s="33">
        <f>G39*3</f>
        <v>501000</v>
      </c>
      <c r="I39" s="596" t="s">
        <v>293</v>
      </c>
      <c r="J39" s="3"/>
      <c r="K39" s="33">
        <v>7</v>
      </c>
      <c r="L39" s="114" t="s">
        <v>90</v>
      </c>
      <c r="M39" s="115">
        <v>31</v>
      </c>
      <c r="S39" s="558" t="str">
        <f t="shared" si="11"/>
        <v/>
      </c>
      <c r="T39" s="559">
        <v>5</v>
      </c>
      <c r="U39" s="115">
        <v>960</v>
      </c>
    </row>
    <row r="40" spans="1:21" ht="48" x14ac:dyDescent="0.15">
      <c r="A40" s="3"/>
      <c r="B40" s="33">
        <v>5</v>
      </c>
      <c r="C40" s="601" t="s">
        <v>286</v>
      </c>
      <c r="D40" s="606">
        <v>1</v>
      </c>
      <c r="E40" s="595">
        <f t="shared" si="10"/>
        <v>0</v>
      </c>
      <c r="F40" s="618">
        <v>5190</v>
      </c>
      <c r="G40" s="622">
        <v>127000</v>
      </c>
      <c r="H40" s="596">
        <f>G40*0</f>
        <v>0</v>
      </c>
      <c r="I40" s="596" t="s">
        <v>293</v>
      </c>
      <c r="J40" s="3"/>
      <c r="K40" s="33">
        <v>8</v>
      </c>
      <c r="L40" s="114" t="s">
        <v>91</v>
      </c>
      <c r="M40" s="115">
        <v>31</v>
      </c>
      <c r="S40" s="558" t="str">
        <f t="shared" si="11"/>
        <v/>
      </c>
      <c r="T40" s="559">
        <v>6</v>
      </c>
      <c r="U40" s="115">
        <v>990</v>
      </c>
    </row>
    <row r="41" spans="1:21" ht="36" x14ac:dyDescent="0.15">
      <c r="A41" s="3"/>
      <c r="B41" s="33">
        <v>6</v>
      </c>
      <c r="C41" s="601" t="s">
        <v>287</v>
      </c>
      <c r="D41" s="607">
        <v>0.33333333333333331</v>
      </c>
      <c r="E41" s="587">
        <f t="shared" si="10"/>
        <v>0.66666666666666674</v>
      </c>
      <c r="F41" s="618">
        <v>5190</v>
      </c>
      <c r="G41" s="604">
        <v>214000</v>
      </c>
      <c r="H41" s="596">
        <f>G41*3/2</f>
        <v>321000</v>
      </c>
      <c r="I41" s="596" t="s">
        <v>293</v>
      </c>
      <c r="J41" s="3"/>
      <c r="K41" s="33">
        <v>9</v>
      </c>
      <c r="L41" s="114" t="s">
        <v>92</v>
      </c>
      <c r="M41" s="115">
        <v>30</v>
      </c>
      <c r="S41" s="558" t="str">
        <f t="shared" si="11"/>
        <v/>
      </c>
      <c r="T41" s="559">
        <v>7</v>
      </c>
      <c r="U41" s="115">
        <v>1030</v>
      </c>
    </row>
    <row r="42" spans="1:21" ht="36" x14ac:dyDescent="0.15">
      <c r="A42" s="3"/>
      <c r="B42" s="33">
        <v>7</v>
      </c>
      <c r="C42" s="601" t="s">
        <v>288</v>
      </c>
      <c r="D42" s="607">
        <v>0.5</v>
      </c>
      <c r="E42" s="587">
        <f t="shared" si="10"/>
        <v>0.5</v>
      </c>
      <c r="F42" s="618">
        <v>5190</v>
      </c>
      <c r="G42" s="604">
        <v>189000</v>
      </c>
      <c r="H42" s="596">
        <f>G42*2</f>
        <v>378000</v>
      </c>
      <c r="I42" s="596" t="s">
        <v>293</v>
      </c>
      <c r="J42" s="3"/>
      <c r="K42" s="33">
        <v>10</v>
      </c>
      <c r="L42" s="114" t="s">
        <v>93</v>
      </c>
      <c r="M42" s="115">
        <v>31</v>
      </c>
      <c r="S42" s="558" t="str">
        <f t="shared" si="11"/>
        <v/>
      </c>
      <c r="T42" s="559">
        <v>8</v>
      </c>
      <c r="U42" s="115">
        <v>1060</v>
      </c>
    </row>
    <row r="43" spans="1:21" ht="38.25" customHeight="1" thickBot="1" x14ac:dyDescent="0.2">
      <c r="A43" s="3"/>
      <c r="B43" s="70">
        <v>8</v>
      </c>
      <c r="C43" s="602" t="s">
        <v>289</v>
      </c>
      <c r="D43" s="615">
        <v>0.75</v>
      </c>
      <c r="E43" s="616">
        <f>1-D43</f>
        <v>0.25</v>
      </c>
      <c r="F43" s="619">
        <v>5190</v>
      </c>
      <c r="G43" s="605">
        <v>156000</v>
      </c>
      <c r="H43" s="597">
        <f>G43*4</f>
        <v>624000</v>
      </c>
      <c r="I43" s="597" t="s">
        <v>293</v>
      </c>
      <c r="J43" s="3"/>
      <c r="K43" s="33">
        <v>11</v>
      </c>
      <c r="L43" s="114" t="s">
        <v>94</v>
      </c>
      <c r="M43" s="115">
        <v>30</v>
      </c>
      <c r="S43" s="558" t="str">
        <f t="shared" si="11"/>
        <v/>
      </c>
      <c r="T43" s="559">
        <v>9</v>
      </c>
      <c r="U43" s="115">
        <v>1140</v>
      </c>
    </row>
    <row r="44" spans="1:21" ht="13.5" customHeight="1" thickBot="1" x14ac:dyDescent="0.2">
      <c r="A44" s="3"/>
      <c r="J44" s="3"/>
      <c r="K44" s="70">
        <v>12</v>
      </c>
      <c r="L44" s="116" t="s">
        <v>95</v>
      </c>
      <c r="M44" s="117">
        <v>31</v>
      </c>
      <c r="S44" s="558" t="str">
        <f t="shared" si="11"/>
        <v/>
      </c>
      <c r="T44" s="559">
        <v>10</v>
      </c>
      <c r="U44" s="115">
        <v>1230</v>
      </c>
    </row>
    <row r="45" spans="1:21" ht="13.5" customHeight="1" x14ac:dyDescent="0.15">
      <c r="A45" s="3"/>
      <c r="I45" s="3"/>
      <c r="J45" s="3"/>
      <c r="S45" s="558" t="str">
        <f t="shared" si="11"/>
        <v/>
      </c>
      <c r="T45" s="559">
        <v>11</v>
      </c>
      <c r="U45" s="115">
        <v>1340</v>
      </c>
    </row>
    <row r="46" spans="1:21" ht="13.5" customHeight="1" x14ac:dyDescent="0.15">
      <c r="A46" s="3"/>
      <c r="B46" s="1" t="s">
        <v>67</v>
      </c>
      <c r="E46" s="3"/>
      <c r="F46" s="3"/>
      <c r="G46" s="3"/>
      <c r="H46" s="3"/>
      <c r="I46" s="3"/>
      <c r="J46" s="3"/>
      <c r="S46" s="558" t="str">
        <f t="shared" si="11"/>
        <v/>
      </c>
      <c r="T46" s="559">
        <v>12</v>
      </c>
      <c r="U46" s="115">
        <v>1490</v>
      </c>
    </row>
    <row r="47" spans="1:21" ht="13.5" customHeight="1" thickBot="1" x14ac:dyDescent="0.2">
      <c r="A47" s="3"/>
      <c r="B47" s="42">
        <v>1</v>
      </c>
      <c r="E47" s="3"/>
      <c r="F47" s="3"/>
      <c r="G47" s="3"/>
      <c r="H47" s="3"/>
      <c r="I47" s="588"/>
      <c r="J47" s="3"/>
      <c r="S47" s="558" t="str">
        <f t="shared" si="11"/>
        <v/>
      </c>
      <c r="T47" s="559">
        <v>13</v>
      </c>
      <c r="U47" s="115">
        <v>1590</v>
      </c>
    </row>
    <row r="48" spans="1:21" ht="13.5" customHeight="1" x14ac:dyDescent="0.15">
      <c r="A48" s="3"/>
      <c r="B48" s="779" t="s">
        <v>56</v>
      </c>
      <c r="C48" s="789" t="s">
        <v>61</v>
      </c>
      <c r="D48" s="791" t="s">
        <v>57</v>
      </c>
      <c r="E48" s="791" t="s">
        <v>58</v>
      </c>
      <c r="F48" s="791" t="s">
        <v>59</v>
      </c>
      <c r="G48" s="787" t="s">
        <v>78</v>
      </c>
      <c r="H48" s="787" t="s">
        <v>214</v>
      </c>
      <c r="I48" s="588"/>
      <c r="J48" s="589"/>
      <c r="S48" s="558" t="str">
        <f t="shared" si="11"/>
        <v/>
      </c>
      <c r="T48" s="559">
        <v>14</v>
      </c>
      <c r="U48" s="115">
        <v>1670</v>
      </c>
    </row>
    <row r="49" spans="1:21" ht="13.5" customHeight="1" thickBot="1" x14ac:dyDescent="0.2">
      <c r="A49" s="3"/>
      <c r="B49" s="780"/>
      <c r="C49" s="790"/>
      <c r="D49" s="792"/>
      <c r="E49" s="792"/>
      <c r="F49" s="792"/>
      <c r="G49" s="788"/>
      <c r="H49" s="788"/>
      <c r="I49" s="588"/>
      <c r="J49" s="589"/>
      <c r="S49" s="558" t="str">
        <f t="shared" si="11"/>
        <v/>
      </c>
      <c r="T49" s="559">
        <v>15</v>
      </c>
      <c r="U49" s="115">
        <v>1710</v>
      </c>
    </row>
    <row r="50" spans="1:21" ht="13.5" customHeight="1" thickTop="1" x14ac:dyDescent="0.15">
      <c r="A50" s="3"/>
      <c r="B50" s="44">
        <v>1</v>
      </c>
      <c r="C50" s="608" t="str">
        <f>IF(D50="","",TEXT(D50,"yyyy/mm/dd")&amp;"～"&amp;TEXT(E50,"yyyy/mm/dd")&amp;"("&amp;H50&amp;"日・"&amp;F50&amp;")")</f>
        <v>2025/05/14～2025/05/22(9日・TKC)</v>
      </c>
      <c r="D50" s="45">
        <v>45791</v>
      </c>
      <c r="E50" s="46">
        <v>45799</v>
      </c>
      <c r="F50" s="47" t="s">
        <v>129</v>
      </c>
      <c r="G50" s="48">
        <f t="shared" ref="G50:G56" si="12">IF(D50="","",DATEDIF(D50,E50,"D")+2)</f>
        <v>10</v>
      </c>
      <c r="H50" s="48">
        <f>IF(G50="","",G50-1)</f>
        <v>9</v>
      </c>
      <c r="I50" s="588"/>
      <c r="J50" s="588"/>
      <c r="S50" s="558" t="str">
        <f t="shared" si="11"/>
        <v/>
      </c>
      <c r="T50" s="559">
        <v>17</v>
      </c>
      <c r="U50" s="115">
        <v>1800</v>
      </c>
    </row>
    <row r="51" spans="1:21" ht="13.5" customHeight="1" x14ac:dyDescent="0.15">
      <c r="A51" s="3"/>
      <c r="B51" s="49">
        <v>2</v>
      </c>
      <c r="C51" s="609" t="str">
        <f t="shared" ref="C51:C62" si="13">IF(D51="","",TEXT(D51,"yyyy/mm/dd")&amp;"～"&amp;TEXT(E51,"yyyy/mm/dd")&amp;"("&amp;H51&amp;"日・"&amp;F51&amp;")")</f>
        <v>2025/07/02～2025/07/10(9日・KKC)</v>
      </c>
      <c r="D51" s="51">
        <v>45840</v>
      </c>
      <c r="E51" s="52">
        <v>45848</v>
      </c>
      <c r="F51" s="53" t="s">
        <v>124</v>
      </c>
      <c r="G51" s="54">
        <f t="shared" si="12"/>
        <v>10</v>
      </c>
      <c r="H51" s="54">
        <f t="shared" ref="H51:H62" si="14">IF(G51="","",G51-1)</f>
        <v>9</v>
      </c>
      <c r="I51" s="588"/>
      <c r="J51" s="588"/>
      <c r="S51" s="558" t="str">
        <f t="shared" si="11"/>
        <v/>
      </c>
      <c r="T51" s="559">
        <v>19</v>
      </c>
      <c r="U51" s="115">
        <v>1940</v>
      </c>
    </row>
    <row r="52" spans="1:21" ht="13.5" customHeight="1" x14ac:dyDescent="0.15">
      <c r="A52" s="3"/>
      <c r="B52" s="49">
        <v>3</v>
      </c>
      <c r="C52" s="609" t="str">
        <f t="shared" si="13"/>
        <v>2025/09/03～2025/09/11(9日・TKC)</v>
      </c>
      <c r="D52" s="51">
        <v>45903</v>
      </c>
      <c r="E52" s="52">
        <v>45911</v>
      </c>
      <c r="F52" s="53" t="s">
        <v>129</v>
      </c>
      <c r="G52" s="54">
        <f t="shared" si="12"/>
        <v>10</v>
      </c>
      <c r="H52" s="54">
        <f t="shared" si="14"/>
        <v>9</v>
      </c>
      <c r="I52" s="588"/>
      <c r="J52" s="588"/>
      <c r="S52" s="558" t="str">
        <f t="shared" si="11"/>
        <v/>
      </c>
      <c r="T52" s="559">
        <v>21</v>
      </c>
      <c r="U52" s="115">
        <v>2050</v>
      </c>
    </row>
    <row r="53" spans="1:21" ht="13.5" customHeight="1" x14ac:dyDescent="0.15">
      <c r="A53" s="3"/>
      <c r="B53" s="49">
        <v>4</v>
      </c>
      <c r="C53" s="609" t="str">
        <f t="shared" si="13"/>
        <v>2025/11/26～2025/12/04(9日・TKC)</v>
      </c>
      <c r="D53" s="51">
        <v>45987</v>
      </c>
      <c r="E53" s="52">
        <v>45995</v>
      </c>
      <c r="F53" s="53" t="s">
        <v>129</v>
      </c>
      <c r="G53" s="54">
        <f t="shared" si="12"/>
        <v>10</v>
      </c>
      <c r="H53" s="54">
        <f t="shared" si="14"/>
        <v>9</v>
      </c>
      <c r="I53" s="588"/>
      <c r="J53" s="588"/>
      <c r="S53" s="558" t="str">
        <f t="shared" si="11"/>
        <v/>
      </c>
      <c r="T53" s="559">
        <v>23</v>
      </c>
      <c r="U53" s="115">
        <v>2170</v>
      </c>
    </row>
    <row r="54" spans="1:21" ht="13.5" customHeight="1" x14ac:dyDescent="0.15">
      <c r="A54" s="3"/>
      <c r="B54" s="49">
        <v>5</v>
      </c>
      <c r="C54" s="609" t="str">
        <f t="shared" si="13"/>
        <v>2026/01/14～2026/01/22(9日・KKC)</v>
      </c>
      <c r="D54" s="51">
        <v>46036</v>
      </c>
      <c r="E54" s="52">
        <v>46044</v>
      </c>
      <c r="F54" s="53" t="s">
        <v>296</v>
      </c>
      <c r="G54" s="54">
        <f t="shared" si="12"/>
        <v>10</v>
      </c>
      <c r="H54" s="54">
        <f t="shared" si="14"/>
        <v>9</v>
      </c>
      <c r="I54" s="588"/>
      <c r="J54" s="588"/>
      <c r="S54" s="558" t="str">
        <f t="shared" si="11"/>
        <v/>
      </c>
      <c r="T54" s="559">
        <v>25</v>
      </c>
      <c r="U54" s="115">
        <v>2260</v>
      </c>
    </row>
    <row r="55" spans="1:21" ht="13.5" customHeight="1" x14ac:dyDescent="0.15">
      <c r="A55" s="3"/>
      <c r="B55" s="55">
        <v>6</v>
      </c>
      <c r="C55" s="610" t="str">
        <f t="shared" si="13"/>
        <v>2026/01/21～2026/01/29(9日・TKC)</v>
      </c>
      <c r="D55" s="56">
        <v>46043</v>
      </c>
      <c r="E55" s="57">
        <v>46051</v>
      </c>
      <c r="F55" s="58" t="s">
        <v>297</v>
      </c>
      <c r="G55" s="59">
        <f t="shared" si="12"/>
        <v>10</v>
      </c>
      <c r="H55" s="59">
        <f t="shared" si="14"/>
        <v>9</v>
      </c>
      <c r="I55" s="588"/>
      <c r="J55" s="588"/>
      <c r="S55" s="558" t="str">
        <f t="shared" si="11"/>
        <v/>
      </c>
      <c r="T55" s="559">
        <v>27</v>
      </c>
      <c r="U55" s="115">
        <v>2370</v>
      </c>
    </row>
    <row r="56" spans="1:21" ht="13.5" customHeight="1" x14ac:dyDescent="0.15">
      <c r="A56" s="3"/>
      <c r="B56" s="49">
        <v>7</v>
      </c>
      <c r="C56" s="50" t="str">
        <f t="shared" si="13"/>
        <v/>
      </c>
      <c r="D56" s="51"/>
      <c r="E56" s="52"/>
      <c r="F56" s="53"/>
      <c r="G56" s="54" t="str">
        <f t="shared" si="12"/>
        <v/>
      </c>
      <c r="H56" s="54" t="str">
        <f t="shared" si="14"/>
        <v/>
      </c>
      <c r="I56" s="588"/>
      <c r="J56" s="588"/>
      <c r="S56" s="558" t="str">
        <f t="shared" si="11"/>
        <v/>
      </c>
      <c r="T56" s="559">
        <v>29</v>
      </c>
      <c r="U56" s="115">
        <v>2500</v>
      </c>
    </row>
    <row r="57" spans="1:21" ht="13.5" customHeight="1" x14ac:dyDescent="0.15">
      <c r="A57" s="3"/>
      <c r="B57" s="55">
        <v>8</v>
      </c>
      <c r="C57" s="58" t="str">
        <f t="shared" si="13"/>
        <v/>
      </c>
      <c r="D57" s="57"/>
      <c r="E57" s="57"/>
      <c r="F57" s="58"/>
      <c r="G57" s="59" t="str">
        <f t="shared" ref="G57:G60" si="15">IF(D57="","",DATEDIF(D57,E57,"D")+2)</f>
        <v/>
      </c>
      <c r="H57" s="59" t="str">
        <f t="shared" si="14"/>
        <v/>
      </c>
      <c r="I57" s="588"/>
      <c r="J57" s="588"/>
      <c r="S57" s="558" t="str">
        <f t="shared" si="11"/>
        <v/>
      </c>
      <c r="T57" s="559">
        <v>31</v>
      </c>
      <c r="U57" s="115">
        <v>2850</v>
      </c>
    </row>
    <row r="58" spans="1:21" ht="13.5" customHeight="1" x14ac:dyDescent="0.15">
      <c r="A58" s="3"/>
      <c r="B58" s="49">
        <v>9</v>
      </c>
      <c r="C58" s="58" t="str">
        <f t="shared" si="13"/>
        <v/>
      </c>
      <c r="D58" s="57"/>
      <c r="E58" s="57"/>
      <c r="F58" s="58"/>
      <c r="G58" s="59" t="str">
        <f t="shared" si="15"/>
        <v/>
      </c>
      <c r="H58" s="59" t="str">
        <f t="shared" si="14"/>
        <v/>
      </c>
      <c r="I58" s="588"/>
      <c r="J58" s="588"/>
      <c r="S58" s="558" t="str">
        <f t="shared" si="11"/>
        <v/>
      </c>
      <c r="T58" s="559">
        <v>34</v>
      </c>
      <c r="U58" s="115">
        <v>3460</v>
      </c>
    </row>
    <row r="59" spans="1:21" ht="13.5" customHeight="1" x14ac:dyDescent="0.15">
      <c r="A59" s="3"/>
      <c r="B59" s="55">
        <v>10</v>
      </c>
      <c r="C59" s="58" t="str">
        <f t="shared" si="13"/>
        <v/>
      </c>
      <c r="D59" s="57"/>
      <c r="E59" s="57"/>
      <c r="F59" s="58"/>
      <c r="G59" s="59" t="str">
        <f t="shared" si="15"/>
        <v/>
      </c>
      <c r="H59" s="59" t="str">
        <f t="shared" si="14"/>
        <v/>
      </c>
      <c r="I59" s="588"/>
      <c r="J59" s="588"/>
      <c r="S59" s="558" t="str">
        <f t="shared" si="11"/>
        <v/>
      </c>
      <c r="T59" s="559">
        <v>39</v>
      </c>
      <c r="U59" s="115">
        <v>4250</v>
      </c>
    </row>
    <row r="60" spans="1:21" ht="13.5" customHeight="1" x14ac:dyDescent="0.15">
      <c r="A60" s="3"/>
      <c r="B60" s="55">
        <v>11</v>
      </c>
      <c r="C60" s="58" t="str">
        <f t="shared" si="13"/>
        <v/>
      </c>
      <c r="D60" s="57"/>
      <c r="E60" s="57"/>
      <c r="F60" s="58"/>
      <c r="G60" s="59" t="str">
        <f t="shared" si="15"/>
        <v/>
      </c>
      <c r="H60" s="59" t="str">
        <f t="shared" si="14"/>
        <v/>
      </c>
      <c r="I60" s="588"/>
      <c r="J60" s="588"/>
      <c r="S60" s="558" t="str">
        <f t="shared" si="11"/>
        <v/>
      </c>
      <c r="T60" s="559">
        <v>46</v>
      </c>
      <c r="U60" s="115">
        <v>5440</v>
      </c>
    </row>
    <row r="61" spans="1:21" ht="13.5" customHeight="1" x14ac:dyDescent="0.15">
      <c r="A61" s="3"/>
      <c r="B61" s="55">
        <v>12</v>
      </c>
      <c r="C61" s="58" t="str">
        <f t="shared" si="13"/>
        <v/>
      </c>
      <c r="D61" s="57"/>
      <c r="E61" s="57"/>
      <c r="F61" s="58"/>
      <c r="G61" s="59" t="str">
        <f t="shared" ref="G61:G62" si="16">IF(D61="","",DATEDIF(D61,E61,"D")+2)</f>
        <v/>
      </c>
      <c r="H61" s="59" t="str">
        <f t="shared" si="14"/>
        <v/>
      </c>
      <c r="I61" s="588"/>
      <c r="J61" s="588"/>
      <c r="S61" s="558" t="str">
        <f t="shared" si="11"/>
        <v/>
      </c>
      <c r="T61" s="559">
        <v>53</v>
      </c>
      <c r="U61" s="115">
        <v>6790</v>
      </c>
    </row>
    <row r="62" spans="1:21" ht="13.5" customHeight="1" thickBot="1" x14ac:dyDescent="0.2">
      <c r="A62" s="3"/>
      <c r="B62" s="60">
        <v>13</v>
      </c>
      <c r="C62" s="62" t="str">
        <f t="shared" si="13"/>
        <v/>
      </c>
      <c r="D62" s="61"/>
      <c r="E62" s="61"/>
      <c r="F62" s="62"/>
      <c r="G62" s="63" t="str">
        <f t="shared" si="16"/>
        <v/>
      </c>
      <c r="H62" s="63" t="str">
        <f t="shared" si="14"/>
        <v/>
      </c>
      <c r="J62" s="588"/>
      <c r="S62" s="558" t="str">
        <f>IF(OR(AND($C$6&gt;T61,$U$33&gt;0,$T$33=1),AND($U$33=0,$T$33=2)),"該当","")</f>
        <v>該当</v>
      </c>
      <c r="T62" s="16" t="s">
        <v>248</v>
      </c>
      <c r="U62" s="115">
        <v>8340</v>
      </c>
    </row>
    <row r="63" spans="1:21" ht="13.5" customHeight="1" x14ac:dyDescent="0.15">
      <c r="A63" s="3"/>
      <c r="S63" s="558" t="str">
        <f>IF(OR(AND($U$33&gt;0,$T$33=2),AND($U$33=0,$T$33=3)),"該当","")</f>
        <v/>
      </c>
      <c r="T63" s="16" t="s">
        <v>249</v>
      </c>
      <c r="U63" s="115">
        <v>9780</v>
      </c>
    </row>
    <row r="64" spans="1:21" ht="13.5" customHeight="1" x14ac:dyDescent="0.15">
      <c r="A64" s="3"/>
      <c r="S64" s="558" t="str">
        <f>IF(OR(AND($U$33&gt;0,$T$33=3),AND($U$33=0,$T$33=4)),"該当","")</f>
        <v/>
      </c>
      <c r="T64" s="16" t="s">
        <v>250</v>
      </c>
      <c r="U64" s="115">
        <v>14500</v>
      </c>
    </row>
    <row r="65" spans="1:21" ht="13.5" customHeight="1" x14ac:dyDescent="0.15">
      <c r="A65" s="3"/>
      <c r="S65" s="558" t="str">
        <f>IF(OR(AND($U$33&gt;0,$T$33=4),AND($U$33=0,$T$33=5)),"該当","")</f>
        <v/>
      </c>
      <c r="T65" s="16" t="s">
        <v>251</v>
      </c>
      <c r="U65" s="115">
        <v>20080</v>
      </c>
    </row>
    <row r="66" spans="1:21" ht="13.5" customHeight="1" x14ac:dyDescent="0.15">
      <c r="A66" s="3"/>
      <c r="S66" s="558" t="str">
        <f>IF(OR(AND($U$33&gt;0,$T$33=5),AND($U$33=0,$T$33=6)),"該当","")</f>
        <v/>
      </c>
      <c r="T66" s="16" t="s">
        <v>252</v>
      </c>
      <c r="U66" s="115">
        <v>23480</v>
      </c>
    </row>
    <row r="67" spans="1:21" ht="13.5" customHeight="1" x14ac:dyDescent="0.15">
      <c r="A67" s="3"/>
      <c r="S67" s="558" t="str">
        <f>IF(OR(AND($U$33&gt;0,$T$33=6),AND($U$33=0,$T$33=7)),"該当","")</f>
        <v/>
      </c>
      <c r="T67" s="16" t="s">
        <v>253</v>
      </c>
      <c r="U67" s="115">
        <v>26490</v>
      </c>
    </row>
    <row r="68" spans="1:21" ht="13.5" customHeight="1" x14ac:dyDescent="0.15">
      <c r="A68" s="3"/>
      <c r="S68" s="558" t="str">
        <f>IF(OR(AND($U$33&gt;0,$T$33=7),AND($U$33=0,$T$33=8)),"該当","")</f>
        <v/>
      </c>
      <c r="T68" s="16" t="s">
        <v>254</v>
      </c>
      <c r="U68" s="115">
        <v>31000</v>
      </c>
    </row>
    <row r="69" spans="1:21" ht="13.5" customHeight="1" x14ac:dyDescent="0.15">
      <c r="A69" s="3"/>
      <c r="S69" s="558" t="str">
        <f>IF(OR(AND($U$33&gt;0,$T$33=8),AND($U$33=0,$T$33=9)),"該当","")</f>
        <v/>
      </c>
      <c r="T69" s="16" t="s">
        <v>255</v>
      </c>
      <c r="U69" s="115">
        <v>35000</v>
      </c>
    </row>
    <row r="70" spans="1:21" ht="13.5" customHeight="1" x14ac:dyDescent="0.15">
      <c r="A70" s="3"/>
      <c r="S70" s="558" t="str">
        <f>IF(OR(AND($U$33&gt;0,$T$33=9),AND($U$33=0,$T$33=10)),"該当","")</f>
        <v/>
      </c>
      <c r="T70" s="16" t="s">
        <v>256</v>
      </c>
      <c r="U70" s="115">
        <v>39340</v>
      </c>
    </row>
    <row r="71" spans="1:21" ht="13.5" customHeight="1" x14ac:dyDescent="0.15">
      <c r="A71" s="3"/>
      <c r="S71" s="558" t="str">
        <f>IF(OR(AND($U$33&gt;0,$T$33=10),AND($U$33=0,$T$33=11)),"該当","")</f>
        <v/>
      </c>
      <c r="T71" s="16" t="s">
        <v>257</v>
      </c>
      <c r="U71" s="115">
        <v>43340</v>
      </c>
    </row>
    <row r="72" spans="1:21" ht="13.5" customHeight="1" x14ac:dyDescent="0.15">
      <c r="A72" s="3"/>
      <c r="S72" s="558" t="str">
        <f>IF(OR(AND($U$33&gt;0,$T$33=11),AND($U$33=0,$T$33=12)),"該当","")</f>
        <v/>
      </c>
      <c r="T72" s="16" t="s">
        <v>258</v>
      </c>
      <c r="U72" s="115">
        <v>49090</v>
      </c>
    </row>
    <row r="73" spans="1:21" ht="13.5" customHeight="1" x14ac:dyDescent="0.15">
      <c r="A73" s="3"/>
      <c r="S73" s="558" t="str">
        <f>IF($C$6=T73,"該当","")</f>
        <v/>
      </c>
      <c r="T73" s="560">
        <v>366</v>
      </c>
      <c r="U73" s="115">
        <v>49220</v>
      </c>
    </row>
    <row r="74" spans="1:21" ht="13.5" customHeight="1" x14ac:dyDescent="0.15">
      <c r="A74" s="3"/>
      <c r="S74" s="558" t="str">
        <f t="shared" ref="S74:S75" si="17">IF($C$6=T74,"該当","")</f>
        <v/>
      </c>
      <c r="T74" s="560">
        <v>367</v>
      </c>
      <c r="U74" s="115">
        <v>49350</v>
      </c>
    </row>
    <row r="75" spans="1:21" ht="13.5" customHeight="1" thickBot="1" x14ac:dyDescent="0.2">
      <c r="A75" s="3"/>
      <c r="S75" s="561" t="str">
        <f t="shared" si="17"/>
        <v/>
      </c>
      <c r="T75" s="562">
        <v>368</v>
      </c>
      <c r="U75" s="117">
        <v>49490</v>
      </c>
    </row>
    <row r="76" spans="1:21" ht="13.5" customHeight="1" x14ac:dyDescent="0.15">
      <c r="A76" s="3"/>
    </row>
    <row r="77" spans="1:21" ht="13.5" customHeight="1" x14ac:dyDescent="0.15">
      <c r="A77" s="3"/>
    </row>
    <row r="78" spans="1:21" ht="13.5" customHeight="1" x14ac:dyDescent="0.15">
      <c r="A78" s="3"/>
    </row>
    <row r="79" spans="1:21" ht="13.5" customHeight="1" x14ac:dyDescent="0.15">
      <c r="A79" s="3"/>
    </row>
    <row r="80" spans="1:21" ht="13.5" customHeight="1" x14ac:dyDescent="0.15">
      <c r="A80" s="3"/>
      <c r="J80" s="3"/>
    </row>
    <row r="81" spans="1:10" ht="13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3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3.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3.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3.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3.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ht="13.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ht="13.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ht="13.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ht="13.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ht="13.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3.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ht="13.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ht="13.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ht="13.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ht="13.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2" ht="13.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2" ht="13.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2" ht="13.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2" ht="13.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2" ht="13.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2" ht="13.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2" ht="13.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2" ht="13.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2" ht="13.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2" ht="13.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2" ht="13.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3.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3.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2" ht="13.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2" ht="13.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ht="13.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13.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13.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ht="13.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ht="13.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ht="13.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ht="13.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ht="13.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ht="13.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ht="13.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ht="13.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13.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13.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ht="13.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ht="13.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ht="13.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ht="13.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ht="13.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ht="13.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ht="13.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ht="13.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13.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ht="13.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ht="13.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ht="13.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ht="13.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ht="13.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ht="13.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ht="13.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ht="13.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ht="13.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3.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3.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ht="13.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ht="13.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ht="13.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ht="13.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ht="13.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ht="13.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ht="13.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ht="13.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13.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13.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ht="13.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spans="1:12" ht="13.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spans="1:12" ht="13.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spans="1:12" ht="13.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spans="1:12" ht="13.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spans="1:12" ht="13.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spans="1:11" ht="13.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spans="1:11" ht="13.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13.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13.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1:11" ht="13.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spans="1:11" ht="13.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spans="1:11" ht="13.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spans="1:11" ht="13.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spans="1:11" ht="13.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spans="1:11" ht="13.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spans="1:11" ht="13.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spans="1:11" ht="13.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13.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13.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spans="1:11" ht="13.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spans="1:11" ht="13.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spans="1:11" ht="13.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spans="1:11" ht="13.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spans="1:11" ht="13.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spans="1:11" ht="13.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spans="1:11" ht="13.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spans="1:11" ht="13.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13.5" customHeight="1" x14ac:dyDescent="0.15">
      <c r="A183" s="3"/>
      <c r="B183" s="32"/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13.5" customHeight="1" x14ac:dyDescent="0.2">
      <c r="A184" s="3"/>
      <c r="B184" s="32"/>
      <c r="C184" s="3"/>
      <c r="D184" s="3"/>
      <c r="E184" s="3"/>
      <c r="F184" s="3"/>
      <c r="G184" s="3"/>
      <c r="H184" s="3"/>
      <c r="I184" s="3"/>
      <c r="J184" s="3"/>
      <c r="K184"/>
    </row>
    <row r="185" spans="1:11" ht="13.5" customHeight="1" x14ac:dyDescent="0.2">
      <c r="B185" s="32"/>
      <c r="C185" s="3"/>
      <c r="D185" s="3"/>
      <c r="E185" s="3"/>
      <c r="F185" s="3"/>
      <c r="G185" s="3"/>
      <c r="H185" s="3"/>
      <c r="I185" s="3"/>
      <c r="J185" s="3"/>
      <c r="K185"/>
    </row>
    <row r="186" spans="1:11" ht="13.5" customHeight="1" x14ac:dyDescent="0.2">
      <c r="B186" s="32"/>
      <c r="C186" s="3"/>
      <c r="D186" s="3"/>
      <c r="E186" s="3"/>
      <c r="F186" s="3"/>
      <c r="G186" s="3"/>
      <c r="H186" s="3"/>
      <c r="I186" s="3"/>
      <c r="J186" s="3"/>
      <c r="K186"/>
    </row>
    <row r="187" spans="1:11" ht="13.5" customHeight="1" x14ac:dyDescent="0.2">
      <c r="B187" s="32"/>
      <c r="C187" s="3"/>
      <c r="D187" s="3"/>
      <c r="E187" s="3"/>
      <c r="F187" s="3"/>
      <c r="G187" s="3"/>
      <c r="H187" s="3"/>
      <c r="I187" s="3"/>
      <c r="J187" s="3"/>
      <c r="K187"/>
    </row>
    <row r="188" spans="1:11" ht="13.5" customHeight="1" x14ac:dyDescent="0.2">
      <c r="B188" s="32"/>
      <c r="C188" s="3"/>
      <c r="D188" s="3"/>
      <c r="E188" s="3"/>
      <c r="F188" s="3"/>
      <c r="G188" s="3"/>
      <c r="H188" s="3"/>
      <c r="I188" s="3"/>
      <c r="J188" s="3"/>
      <c r="K188"/>
    </row>
    <row r="189" spans="1:11" ht="13.5" customHeight="1" x14ac:dyDescent="0.2">
      <c r="B189" s="32"/>
      <c r="C189" s="3"/>
      <c r="D189" s="3"/>
      <c r="E189" s="3"/>
      <c r="F189" s="3"/>
      <c r="G189" s="3"/>
      <c r="H189" s="3"/>
      <c r="I189" s="3"/>
      <c r="J189" s="3"/>
      <c r="K189"/>
    </row>
    <row r="190" spans="1:11" ht="13.5" customHeight="1" x14ac:dyDescent="0.2">
      <c r="B190" s="32"/>
      <c r="C190" s="3"/>
      <c r="D190" s="3"/>
      <c r="E190" s="3"/>
      <c r="F190" s="3"/>
      <c r="G190" s="3"/>
      <c r="K190"/>
    </row>
  </sheetData>
  <mergeCells count="31">
    <mergeCell ref="N12:N14"/>
    <mergeCell ref="O12:O14"/>
    <mergeCell ref="G48:G49"/>
    <mergeCell ref="B48:B49"/>
    <mergeCell ref="C48:C49"/>
    <mergeCell ref="D48:D49"/>
    <mergeCell ref="E48:E49"/>
    <mergeCell ref="F48:F49"/>
    <mergeCell ref="H48:H49"/>
    <mergeCell ref="B34:B35"/>
    <mergeCell ref="C34:C35"/>
    <mergeCell ref="D34:D35"/>
    <mergeCell ref="E34:E35"/>
    <mergeCell ref="F34:F35"/>
    <mergeCell ref="I34:I35"/>
    <mergeCell ref="U12:U14"/>
    <mergeCell ref="V12:V14"/>
    <mergeCell ref="W12:W14"/>
    <mergeCell ref="D4:E4"/>
    <mergeCell ref="N4:O4"/>
    <mergeCell ref="R4:S4"/>
    <mergeCell ref="K8:L8"/>
    <mergeCell ref="Q4:Q5"/>
    <mergeCell ref="P12:P14"/>
    <mergeCell ref="Q12:Q14"/>
    <mergeCell ref="R12:R14"/>
    <mergeCell ref="S12:S14"/>
    <mergeCell ref="T12:T14"/>
    <mergeCell ref="K12:K14"/>
    <mergeCell ref="L12:L14"/>
    <mergeCell ref="M12:M14"/>
  </mergeCells>
  <phoneticPr fontId="2"/>
  <dataValidations count="1">
    <dataValidation imeMode="off" allowBlank="1" showInputMessage="1" showErrorMessage="1" sqref="D50:E62" xr:uid="{00000000-0002-0000-0200-000000000000}"/>
  </dataValidations>
  <pageMargins left="0.75" right="0.75" top="1" bottom="1" header="0.51200000000000001" footer="0.51200000000000001"/>
  <pageSetup paperSize="8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20</vt:i4>
      </vt:variant>
    </vt:vector>
  </HeadingPairs>
  <TitlesOfParts>
    <vt:vector size="23" baseType="lpstr">
      <vt:lpstr>9D･A9D費用試算</vt:lpstr>
      <vt:lpstr>9D･A9D月別受入費明細</vt:lpstr>
      <vt:lpstr>9D･A9D計算シート</vt:lpstr>
      <vt:lpstr>【海外旅行保険】</vt:lpstr>
      <vt:lpstr>【月別標準日数】</vt:lpstr>
      <vt:lpstr>【研修申込区分】</vt:lpstr>
      <vt:lpstr>【研修申込区分別費用】</vt:lpstr>
      <vt:lpstr>【研修日数】</vt:lpstr>
      <vt:lpstr>【研修旅行】</vt:lpstr>
      <vt:lpstr>【国内移動費】</vt:lpstr>
      <vt:lpstr>【雑費】</vt:lpstr>
      <vt:lpstr>【実地研修中の宿泊】</vt:lpstr>
      <vt:lpstr>【宿舎費_会社施設】</vt:lpstr>
      <vt:lpstr>【宿舎費_外部宿舎】</vt:lpstr>
      <vt:lpstr>【宿舎費_研修センター】</vt:lpstr>
      <vt:lpstr>【宿舎費_研修旅行中】</vt:lpstr>
      <vt:lpstr>【食費_昼食】</vt:lpstr>
      <vt:lpstr>【食費_朝食】</vt:lpstr>
      <vt:lpstr>【食費_夕食】</vt:lpstr>
      <vt:lpstr>【日程表】</vt:lpstr>
      <vt:lpstr>【日程表項番】</vt:lpstr>
      <vt:lpstr>'9D･A9D月別受入費明細'!Print_Area</vt:lpstr>
      <vt:lpstr>'9D･A9D費用試算'!Print_Area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2025-02-03T04:14:02Z</cp:lastPrinted>
  <dcterms:created xsi:type="dcterms:W3CDTF">2003-03-31T05:39:15Z</dcterms:created>
  <dcterms:modified xsi:type="dcterms:W3CDTF">2025-04-09T02:37:28Z</dcterms:modified>
</cp:coreProperties>
</file>