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1070" tabRatio="651"/>
  </bookViews>
  <sheets>
    <sheet name="9D,A9D費用試算" sheetId="2" r:id="rId1"/>
    <sheet name="9D,A9D月別受入費明細" sheetId="8" r:id="rId2"/>
    <sheet name="9D,A9D計算シート" sheetId="7" r:id="rId3"/>
  </sheets>
  <definedNames>
    <definedName name="【月別標準日数】">'9D,A9D計算シート'!$I$32:$K$43</definedName>
    <definedName name="【研修申込区分】">'9D,A9D計算シート'!$B$35</definedName>
    <definedName name="【研修申込区分別費用】">'9D,A9D計算シート'!$B$37:$G$42</definedName>
    <definedName name="【研修日数】">'9D,A9D計算シート'!$L$15:$U$27</definedName>
    <definedName name="【研修旅行】">'9D,A9D計算シート'!$N$32:$O$33</definedName>
    <definedName name="【国内移動費】">'9D,A9D計算シート'!$I$5:$K$7</definedName>
    <definedName name="【雑費】">'9D,A9D計算シート'!$D$20</definedName>
    <definedName name="【実地研修中の宿泊】">'9D,A9D計算シート'!$B$26</definedName>
    <definedName name="【実地研修費_一般企業】">'9D,A9D計算シート'!$D$21</definedName>
    <definedName name="【実地研修費_中堅・中小企業】">'9D,A9D計算シート'!$D$22</definedName>
    <definedName name="【宿舎費_会社施設】">'9D,A9D計算シート'!$D$29</definedName>
    <definedName name="【宿舎費_外部宿舎】">'9D,A9D計算シート'!$D$30</definedName>
    <definedName name="【宿舎費_研修センター】">'9D,A9D計算シート'!$D$28</definedName>
    <definedName name="【宿舎費_研修旅行中】">'9D,A9D計算シート'!$D$31</definedName>
    <definedName name="【食費_昼食】">'9D,A9D計算シート'!$D$18</definedName>
    <definedName name="【食費_朝食】">'9D,A9D計算シート'!$D$17</definedName>
    <definedName name="【食費_夕食】">'9D,A9D計算シート'!$D$19</definedName>
    <definedName name="【日程表】">'9D,A9D計算シート'!$B$48:$G$60</definedName>
    <definedName name="【日程表項番】">'9D,A9D計算シート'!$D$7</definedName>
    <definedName name="_xlnm.Print_Area" localSheetId="1">'9D,A9D月別受入費明細'!$A$1:$AF$47</definedName>
    <definedName name="_xlnm.Print_Area" localSheetId="0">'9D,A9D費用試算'!$A$1:$Z$59</definedName>
  </definedNames>
  <calcPr calcId="152511"/>
</workbook>
</file>

<file path=xl/calcChain.xml><?xml version="1.0" encoding="utf-8"?>
<calcChain xmlns="http://schemas.openxmlformats.org/spreadsheetml/2006/main">
  <c r="J26" i="2" l="1"/>
  <c r="C60" i="7" l="1"/>
  <c r="C59" i="7"/>
  <c r="C58" i="7"/>
  <c r="C57" i="7"/>
  <c r="H60" i="7"/>
  <c r="H59" i="7"/>
  <c r="H58" i="7"/>
  <c r="H57" i="7"/>
  <c r="F12" i="2" l="1"/>
  <c r="E41" i="8" l="1"/>
  <c r="AF41" i="8" s="1"/>
  <c r="F39" i="7" l="1"/>
  <c r="G3" i="2" l="1"/>
  <c r="M3" i="2"/>
  <c r="F1" i="8" s="1"/>
  <c r="F3" i="8"/>
  <c r="Y50" i="2"/>
  <c r="Q41" i="2"/>
  <c r="D17" i="8" l="1"/>
  <c r="I55" i="2" l="1"/>
  <c r="H55" i="2"/>
  <c r="J55" i="2" s="1"/>
  <c r="I54" i="2"/>
  <c r="H54" i="2"/>
  <c r="J54" i="2" s="1"/>
  <c r="I52" i="2"/>
  <c r="H44" i="2"/>
  <c r="J44" i="2" s="1"/>
  <c r="I34" i="2"/>
  <c r="H34" i="2"/>
  <c r="H33" i="2"/>
  <c r="G33" i="2"/>
  <c r="D21" i="8" s="1"/>
  <c r="J31" i="2"/>
  <c r="J30" i="2"/>
  <c r="H29" i="2"/>
  <c r="H53" i="2" s="1"/>
  <c r="H28" i="2"/>
  <c r="H52" i="2" s="1"/>
  <c r="G41" i="8"/>
  <c r="L25" i="2"/>
  <c r="K26" i="2" s="1"/>
  <c r="M17" i="2"/>
  <c r="Q35" i="2"/>
  <c r="U34" i="2"/>
  <c r="Z34" i="2" s="1"/>
  <c r="M11" i="2"/>
  <c r="H32" i="2" s="1"/>
  <c r="J11" i="2"/>
  <c r="J36" i="2" l="1"/>
  <c r="V41" i="2"/>
  <c r="H56" i="2"/>
  <c r="W6" i="2"/>
  <c r="J52" i="2"/>
  <c r="J34" i="2"/>
  <c r="Q42" i="2"/>
  <c r="Y51" i="2" s="1"/>
  <c r="W7" i="2"/>
  <c r="K36" i="2"/>
  <c r="W8" i="2"/>
  <c r="W14" i="2"/>
  <c r="K34" i="2"/>
  <c r="U37" i="2"/>
  <c r="Z37" i="2" s="1"/>
  <c r="U40" i="2"/>
  <c r="Z40" i="2"/>
  <c r="J28" i="2"/>
  <c r="K30" i="2"/>
  <c r="K31" i="2"/>
  <c r="K28" i="2" l="1"/>
  <c r="G60" i="7" l="1"/>
  <c r="G59" i="7"/>
  <c r="K5" i="7"/>
  <c r="G58" i="7" l="1"/>
  <c r="G57" i="7"/>
  <c r="G56" i="7"/>
  <c r="H56" i="7" s="1"/>
  <c r="C56" i="7" s="1"/>
  <c r="G55" i="7"/>
  <c r="H55" i="7" s="1"/>
  <c r="C55" i="7" s="1"/>
  <c r="E42" i="7" l="1"/>
  <c r="E41" i="7"/>
  <c r="E40" i="7"/>
  <c r="E39" i="7"/>
  <c r="E38" i="7"/>
  <c r="E37" i="7"/>
  <c r="D26" i="8" s="1"/>
  <c r="F41" i="7"/>
  <c r="F42" i="7"/>
  <c r="F37" i="7"/>
  <c r="F38" i="7"/>
  <c r="F40" i="7"/>
  <c r="N25" i="2" l="1"/>
  <c r="M26" i="2" s="1"/>
  <c r="Q39" i="2"/>
  <c r="Y48" i="2" s="1"/>
  <c r="H35" i="2"/>
  <c r="C10" i="7"/>
  <c r="C8" i="7"/>
  <c r="M30" i="2" l="1"/>
  <c r="M31" i="2"/>
  <c r="M34" i="2"/>
  <c r="M28" i="2"/>
  <c r="E19" i="8"/>
  <c r="G19" i="8" l="1"/>
  <c r="G51" i="7" l="1"/>
  <c r="H51" i="7" s="1"/>
  <c r="C51" i="7" s="1"/>
  <c r="C6" i="7"/>
  <c r="G54" i="7"/>
  <c r="H54" i="7" s="1"/>
  <c r="C54" i="7" s="1"/>
  <c r="K7" i="7"/>
  <c r="K6" i="7"/>
  <c r="G13" i="8"/>
  <c r="B44" i="8"/>
  <c r="M5" i="7"/>
  <c r="C5" i="7"/>
  <c r="E27" i="8"/>
  <c r="G27" i="8" s="1"/>
  <c r="AF27" i="8" s="1"/>
  <c r="E15" i="8"/>
  <c r="E16" i="8"/>
  <c r="E22" i="8"/>
  <c r="G49" i="7"/>
  <c r="H49" i="7" s="1"/>
  <c r="C49" i="7" s="1"/>
  <c r="G50" i="7"/>
  <c r="G52" i="7"/>
  <c r="H52" i="7" s="1"/>
  <c r="C52" i="7" s="1"/>
  <c r="G53" i="7"/>
  <c r="H53" i="7" s="1"/>
  <c r="C53" i="7" s="1"/>
  <c r="G48" i="7"/>
  <c r="C9" i="7" l="1"/>
  <c r="H48" i="7"/>
  <c r="C48" i="7" s="1"/>
  <c r="C7" i="7" s="1"/>
  <c r="H3" i="8" s="1"/>
  <c r="I29" i="2"/>
  <c r="H50" i="7"/>
  <c r="C50" i="7" s="1"/>
  <c r="I53" i="2"/>
  <c r="J53" i="2" s="1"/>
  <c r="J29" i="2"/>
  <c r="F9" i="2"/>
  <c r="C13" i="7"/>
  <c r="C12" i="7"/>
  <c r="E44" i="8"/>
  <c r="E13" i="8"/>
  <c r="E14" i="8"/>
  <c r="J15" i="7"/>
  <c r="K15" i="7"/>
  <c r="E5" i="7"/>
  <c r="G39" i="8"/>
  <c r="C11" i="7" l="1"/>
  <c r="F44" i="8"/>
  <c r="G44" i="8" s="1"/>
  <c r="B23" i="8"/>
  <c r="M29" i="2"/>
  <c r="K29" i="2"/>
  <c r="I35" i="2"/>
  <c r="J35" i="2" s="1"/>
  <c r="I33" i="2"/>
  <c r="I32" i="2"/>
  <c r="C14" i="7"/>
  <c r="E23" i="8"/>
  <c r="I39" i="8"/>
  <c r="H39" i="8" s="1"/>
  <c r="G45" i="8"/>
  <c r="K8" i="7"/>
  <c r="M15" i="7"/>
  <c r="J16" i="7"/>
  <c r="K16" i="7"/>
  <c r="N15" i="7"/>
  <c r="O15" i="7" s="1"/>
  <c r="P15" i="7" s="1"/>
  <c r="L15" i="7"/>
  <c r="D11" i="7" l="1"/>
  <c r="M32" i="7"/>
  <c r="J32" i="2"/>
  <c r="I56" i="2"/>
  <c r="J56" i="2" s="1"/>
  <c r="E14" i="7"/>
  <c r="W18" i="2"/>
  <c r="J33" i="2"/>
  <c r="W10" i="2"/>
  <c r="W11" i="2" s="1"/>
  <c r="M32" i="2"/>
  <c r="K32" i="2"/>
  <c r="U35" i="2"/>
  <c r="Z35" i="2" s="1"/>
  <c r="J37" i="2"/>
  <c r="S29" i="2" s="1"/>
  <c r="W13" i="2"/>
  <c r="W15" i="2" s="1"/>
  <c r="M33" i="2"/>
  <c r="K33" i="2"/>
  <c r="U36" i="2"/>
  <c r="Z36" i="2" s="1"/>
  <c r="W17" i="2"/>
  <c r="W19" i="2" s="1"/>
  <c r="M35" i="2"/>
  <c r="K35" i="2"/>
  <c r="U38" i="2"/>
  <c r="Z38" i="2" s="1"/>
  <c r="F14" i="2"/>
  <c r="H4" i="8" s="1"/>
  <c r="B43" i="8"/>
  <c r="E42" i="8"/>
  <c r="J5" i="7"/>
  <c r="I5" i="7" s="1"/>
  <c r="Q15" i="7"/>
  <c r="R15" i="7"/>
  <c r="M16" i="7"/>
  <c r="J17" i="7"/>
  <c r="K17" i="7"/>
  <c r="N16" i="7"/>
  <c r="O16" i="7" s="1"/>
  <c r="P16" i="7" s="1"/>
  <c r="L16" i="7"/>
  <c r="M33" i="7" l="1"/>
  <c r="N32" i="7"/>
  <c r="O32" i="7"/>
  <c r="S15" i="7"/>
  <c r="T15" i="7" s="1"/>
  <c r="U15" i="7" s="1"/>
  <c r="E21" i="8"/>
  <c r="J57" i="2"/>
  <c r="U32" i="2" s="1"/>
  <c r="V38" i="2" s="1"/>
  <c r="Z39" i="2"/>
  <c r="K37" i="2"/>
  <c r="Q34" i="2" s="1"/>
  <c r="M37" i="2"/>
  <c r="E17" i="8"/>
  <c r="E43" i="8"/>
  <c r="E45" i="8" s="1"/>
  <c r="E25" i="8"/>
  <c r="Q16" i="7"/>
  <c r="R16" i="7"/>
  <c r="M17" i="7"/>
  <c r="J18" i="7"/>
  <c r="K18" i="7"/>
  <c r="N17" i="7"/>
  <c r="O17" i="7" s="1"/>
  <c r="P17" i="7" s="1"/>
  <c r="L17" i="7"/>
  <c r="S16" i="7"/>
  <c r="F10" i="8"/>
  <c r="O33" i="7" l="1"/>
  <c r="N33" i="7"/>
  <c r="U39" i="2"/>
  <c r="E18" i="8"/>
  <c r="E20" i="8"/>
  <c r="E24" i="8" s="1"/>
  <c r="J43" i="2"/>
  <c r="J46" i="2" s="1"/>
  <c r="Q38" i="2"/>
  <c r="Y47" i="2" s="1"/>
  <c r="F9" i="8"/>
  <c r="F20" i="8" s="1"/>
  <c r="G20" i="8" s="1"/>
  <c r="F7" i="8"/>
  <c r="F6" i="8" s="1"/>
  <c r="F15" i="8" s="1"/>
  <c r="F22" i="8"/>
  <c r="G22" i="8" s="1"/>
  <c r="F8" i="8"/>
  <c r="F14" i="8" s="1"/>
  <c r="T16" i="7"/>
  <c r="H10" i="8"/>
  <c r="U16" i="7"/>
  <c r="Q17" i="7"/>
  <c r="R17" i="7"/>
  <c r="S17" i="7" s="1"/>
  <c r="M18" i="7"/>
  <c r="J19" i="7"/>
  <c r="K19" i="7"/>
  <c r="N18" i="7"/>
  <c r="O18" i="7" s="1"/>
  <c r="P18" i="7" s="1"/>
  <c r="L18" i="7"/>
  <c r="F16" i="8" l="1"/>
  <c r="G16" i="8" s="1"/>
  <c r="G15" i="8"/>
  <c r="V48" i="2"/>
  <c r="W54" i="2" s="1"/>
  <c r="W55" i="2" s="1"/>
  <c r="Y45" i="2"/>
  <c r="F21" i="8"/>
  <c r="G21" i="8" s="1"/>
  <c r="F17" i="8"/>
  <c r="G17" i="8" s="1"/>
  <c r="H9" i="8"/>
  <c r="H20" i="8" s="1"/>
  <c r="I20" i="8" s="1"/>
  <c r="H8" i="8"/>
  <c r="H14" i="8" s="1"/>
  <c r="I14" i="8" s="1"/>
  <c r="Q18" i="7"/>
  <c r="R18" i="7"/>
  <c r="M19" i="7"/>
  <c r="J20" i="7"/>
  <c r="K20" i="7"/>
  <c r="N19" i="7"/>
  <c r="O19" i="7" s="1"/>
  <c r="P19" i="7" s="1"/>
  <c r="L19" i="7"/>
  <c r="J10" i="8"/>
  <c r="T17" i="7"/>
  <c r="U17" i="7"/>
  <c r="S18" i="7"/>
  <c r="H23" i="8"/>
  <c r="I23" i="8" s="1"/>
  <c r="H7" i="8"/>
  <c r="H6" i="8" s="1"/>
  <c r="H15" i="8" s="1"/>
  <c r="H22" i="8"/>
  <c r="I22" i="8" s="1"/>
  <c r="F23" i="8"/>
  <c r="G23" i="8" s="1"/>
  <c r="I15" i="8" l="1"/>
  <c r="H16" i="8"/>
  <c r="I16" i="8" s="1"/>
  <c r="H21" i="8"/>
  <c r="I21" i="8" s="1"/>
  <c r="H17" i="8"/>
  <c r="I17" i="8" s="1"/>
  <c r="G24" i="8"/>
  <c r="G14" i="8"/>
  <c r="J9" i="8"/>
  <c r="J20" i="8" s="1"/>
  <c r="K20" i="8" s="1"/>
  <c r="E26" i="8"/>
  <c r="E28" i="8" s="1"/>
  <c r="E29" i="8" s="1"/>
  <c r="L10" i="8"/>
  <c r="T18" i="7"/>
  <c r="U18" i="7"/>
  <c r="J23" i="8"/>
  <c r="K23" i="8" s="1"/>
  <c r="J8" i="8"/>
  <c r="J14" i="8" s="1"/>
  <c r="K14" i="8" s="1"/>
  <c r="J7" i="8"/>
  <c r="J6" i="8" s="1"/>
  <c r="J22" i="8"/>
  <c r="K22" i="8" s="1"/>
  <c r="Q19" i="7"/>
  <c r="R19" i="7"/>
  <c r="S19" i="7" s="1"/>
  <c r="M20" i="7"/>
  <c r="J21" i="7"/>
  <c r="K21" i="7"/>
  <c r="N20" i="7"/>
  <c r="O20" i="7" s="1"/>
  <c r="P20" i="7" s="1"/>
  <c r="L20" i="7"/>
  <c r="J21" i="8" l="1"/>
  <c r="K21" i="8" s="1"/>
  <c r="J17" i="8"/>
  <c r="K17" i="8" s="1"/>
  <c r="I24" i="8"/>
  <c r="L8" i="8"/>
  <c r="L14" i="8" s="1"/>
  <c r="M14" i="8" s="1"/>
  <c r="G18" i="8"/>
  <c r="H44" i="8"/>
  <c r="H43" i="8"/>
  <c r="Q20" i="7"/>
  <c r="R20" i="7"/>
  <c r="M21" i="7"/>
  <c r="J22" i="7"/>
  <c r="K22" i="7"/>
  <c r="N21" i="7"/>
  <c r="O21" i="7" s="1"/>
  <c r="P21" i="7" s="1"/>
  <c r="L21" i="7"/>
  <c r="N10" i="8"/>
  <c r="T19" i="7"/>
  <c r="U19" i="7"/>
  <c r="S20" i="7"/>
  <c r="L9" i="8"/>
  <c r="L20" i="8" s="1"/>
  <c r="M20" i="8" s="1"/>
  <c r="L7" i="8"/>
  <c r="L6" i="8" s="1"/>
  <c r="L22" i="8"/>
  <c r="M22" i="8" s="1"/>
  <c r="L21" i="8" l="1"/>
  <c r="M21" i="8" s="1"/>
  <c r="L17" i="8"/>
  <c r="M17" i="8" s="1"/>
  <c r="K24" i="8"/>
  <c r="G26" i="8"/>
  <c r="I18" i="8"/>
  <c r="I26" i="8" s="1"/>
  <c r="N9" i="8"/>
  <c r="N20" i="8" s="1"/>
  <c r="O20" i="8" s="1"/>
  <c r="I43" i="8"/>
  <c r="J39" i="8"/>
  <c r="I44" i="8"/>
  <c r="L23" i="8"/>
  <c r="M23" i="8" s="1"/>
  <c r="P10" i="8"/>
  <c r="T20" i="7"/>
  <c r="U20" i="7"/>
  <c r="N23" i="8"/>
  <c r="O23" i="8" s="1"/>
  <c r="N8" i="8"/>
  <c r="N14" i="8" s="1"/>
  <c r="O14" i="8" s="1"/>
  <c r="N7" i="8"/>
  <c r="N6" i="8" s="1"/>
  <c r="N22" i="8"/>
  <c r="O22" i="8" s="1"/>
  <c r="Q21" i="7"/>
  <c r="R21" i="7"/>
  <c r="S21" i="7" s="1"/>
  <c r="M22" i="7"/>
  <c r="J23" i="7"/>
  <c r="K23" i="7"/>
  <c r="N22" i="7"/>
  <c r="O22" i="7" s="1"/>
  <c r="P22" i="7" s="1"/>
  <c r="L22" i="7"/>
  <c r="N21" i="8" l="1"/>
  <c r="O21" i="8" s="1"/>
  <c r="N17" i="8"/>
  <c r="O17" i="8" s="1"/>
  <c r="M24" i="8"/>
  <c r="P8" i="8"/>
  <c r="P14" i="8" s="1"/>
  <c r="Q14" i="8" s="1"/>
  <c r="K18" i="8"/>
  <c r="K26" i="8" s="1"/>
  <c r="M18" i="8"/>
  <c r="J42" i="8"/>
  <c r="J44" i="8"/>
  <c r="K44" i="8" s="1"/>
  <c r="J43" i="8"/>
  <c r="K43" i="8" s="1"/>
  <c r="Q22" i="7"/>
  <c r="R22" i="7"/>
  <c r="M23" i="7"/>
  <c r="J24" i="7"/>
  <c r="K24" i="7"/>
  <c r="N23" i="7"/>
  <c r="O23" i="7" s="1"/>
  <c r="P23" i="7" s="1"/>
  <c r="L23" i="7"/>
  <c r="R10" i="8"/>
  <c r="T21" i="7"/>
  <c r="U21" i="7"/>
  <c r="S22" i="7"/>
  <c r="P9" i="8"/>
  <c r="P20" i="8" s="1"/>
  <c r="Q20" i="8" s="1"/>
  <c r="P7" i="8"/>
  <c r="P6" i="8" s="1"/>
  <c r="P22" i="8"/>
  <c r="Q22" i="8" s="1"/>
  <c r="P21" i="8" l="1"/>
  <c r="Q21" i="8" s="1"/>
  <c r="P17" i="8"/>
  <c r="Q17" i="8" s="1"/>
  <c r="O24" i="8"/>
  <c r="R9" i="8"/>
  <c r="R20" i="8" s="1"/>
  <c r="S20" i="8" s="1"/>
  <c r="P23" i="8"/>
  <c r="Q23" i="8" s="1"/>
  <c r="T10" i="8"/>
  <c r="T22" i="7"/>
  <c r="U22" i="7"/>
  <c r="R23" i="8"/>
  <c r="S23" i="8" s="1"/>
  <c r="R8" i="8"/>
  <c r="R14" i="8" s="1"/>
  <c r="S14" i="8" s="1"/>
  <c r="R7" i="8"/>
  <c r="R6" i="8" s="1"/>
  <c r="R22" i="8"/>
  <c r="S22" i="8" s="1"/>
  <c r="Q23" i="7"/>
  <c r="R23" i="7"/>
  <c r="S23" i="7" s="1"/>
  <c r="M24" i="7"/>
  <c r="J25" i="7"/>
  <c r="K25" i="7"/>
  <c r="N24" i="7"/>
  <c r="O24" i="7" s="1"/>
  <c r="P24" i="7" s="1"/>
  <c r="L24" i="7"/>
  <c r="R21" i="8" l="1"/>
  <c r="S21" i="8" s="1"/>
  <c r="R17" i="8"/>
  <c r="S17" i="8" s="1"/>
  <c r="Q24" i="8"/>
  <c r="M26" i="8"/>
  <c r="T8" i="8"/>
  <c r="T14" i="8" s="1"/>
  <c r="U14" i="8" s="1"/>
  <c r="O18" i="8"/>
  <c r="Q18" i="8"/>
  <c r="Q24" i="7"/>
  <c r="R24" i="7"/>
  <c r="M25" i="7"/>
  <c r="J26" i="7"/>
  <c r="K26" i="7"/>
  <c r="N25" i="7"/>
  <c r="O25" i="7" s="1"/>
  <c r="P25" i="7" s="1"/>
  <c r="L25" i="7"/>
  <c r="V10" i="8"/>
  <c r="T23" i="7"/>
  <c r="U23" i="7"/>
  <c r="S24" i="7"/>
  <c r="T9" i="8"/>
  <c r="T20" i="8" s="1"/>
  <c r="U20" i="8" s="1"/>
  <c r="T7" i="8"/>
  <c r="T6" i="8" s="1"/>
  <c r="T22" i="8"/>
  <c r="U22" i="8" s="1"/>
  <c r="T21" i="8" l="1"/>
  <c r="U21" i="8" s="1"/>
  <c r="T17" i="8"/>
  <c r="U17" i="8" s="1"/>
  <c r="S24" i="8"/>
  <c r="O26" i="8"/>
  <c r="V9" i="8"/>
  <c r="V20" i="8" s="1"/>
  <c r="W20" i="8" s="1"/>
  <c r="T23" i="8"/>
  <c r="U23" i="8" s="1"/>
  <c r="X10" i="8"/>
  <c r="T24" i="7"/>
  <c r="U24" i="7"/>
  <c r="V23" i="8"/>
  <c r="W23" i="8" s="1"/>
  <c r="V8" i="8"/>
  <c r="V14" i="8" s="1"/>
  <c r="W14" i="8" s="1"/>
  <c r="V7" i="8"/>
  <c r="V6" i="8" s="1"/>
  <c r="V22" i="8"/>
  <c r="W22" i="8" s="1"/>
  <c r="Q25" i="7"/>
  <c r="R25" i="7"/>
  <c r="S25" i="7" s="1"/>
  <c r="M26" i="7"/>
  <c r="J27" i="7"/>
  <c r="K27" i="7"/>
  <c r="M27" i="7" s="1"/>
  <c r="N26" i="7"/>
  <c r="O26" i="7" s="1"/>
  <c r="P26" i="7" s="1"/>
  <c r="L26" i="7"/>
  <c r="V21" i="8" l="1"/>
  <c r="W21" i="8" s="1"/>
  <c r="V17" i="8"/>
  <c r="W17" i="8" s="1"/>
  <c r="U24" i="8"/>
  <c r="U26" i="8" s="1"/>
  <c r="Q26" i="8"/>
  <c r="X9" i="8"/>
  <c r="X20" i="8" s="1"/>
  <c r="Y20" i="8" s="1"/>
  <c r="X8" i="8"/>
  <c r="X14" i="8" s="1"/>
  <c r="Y14" i="8" s="1"/>
  <c r="S18" i="8"/>
  <c r="S26" i="8" s="1"/>
  <c r="U18" i="8"/>
  <c r="Q26" i="7"/>
  <c r="R26" i="7"/>
  <c r="N27" i="7"/>
  <c r="O27" i="7" s="1"/>
  <c r="P27" i="7" s="1"/>
  <c r="L27" i="7"/>
  <c r="Z10" i="8"/>
  <c r="T25" i="7"/>
  <c r="U25" i="7"/>
  <c r="S26" i="7"/>
  <c r="X23" i="8"/>
  <c r="Y23" i="8" s="1"/>
  <c r="X7" i="8"/>
  <c r="X6" i="8" s="1"/>
  <c r="X22" i="8"/>
  <c r="Y22" i="8" s="1"/>
  <c r="X21" i="8" l="1"/>
  <c r="Y21" i="8" s="1"/>
  <c r="X17" i="8"/>
  <c r="Y17" i="8" s="1"/>
  <c r="W24" i="8"/>
  <c r="Z9" i="8"/>
  <c r="Z20" i="8" s="1"/>
  <c r="AA20" i="8" s="1"/>
  <c r="Z8" i="8"/>
  <c r="Z14" i="8" s="1"/>
  <c r="AA14" i="8" s="1"/>
  <c r="AB10" i="8"/>
  <c r="T26" i="7"/>
  <c r="U26" i="7"/>
  <c r="Z23" i="8"/>
  <c r="AA23" i="8" s="1"/>
  <c r="Z7" i="8"/>
  <c r="Z6" i="8" s="1"/>
  <c r="Z22" i="8"/>
  <c r="AA22" i="8" s="1"/>
  <c r="Q27" i="7"/>
  <c r="R27" i="7"/>
  <c r="S27" i="7" s="1"/>
  <c r="Z21" i="8" l="1"/>
  <c r="AA21" i="8" s="1"/>
  <c r="Z17" i="8"/>
  <c r="AA17" i="8" s="1"/>
  <c r="Y24" i="8"/>
  <c r="AB9" i="8"/>
  <c r="AB20" i="8" s="1"/>
  <c r="AC20" i="8" s="1"/>
  <c r="AB8" i="8"/>
  <c r="AB14" i="8" s="1"/>
  <c r="AC14" i="8" s="1"/>
  <c r="W18" i="8"/>
  <c r="W26" i="8" s="1"/>
  <c r="Y18" i="8"/>
  <c r="Y26" i="8" s="1"/>
  <c r="AD10" i="8"/>
  <c r="AD22" i="8" s="1"/>
  <c r="AE22" i="8" s="1"/>
  <c r="T27" i="7"/>
  <c r="U27" i="7"/>
  <c r="J6" i="7" s="1"/>
  <c r="I6" i="7" s="1"/>
  <c r="S28" i="7"/>
  <c r="AB23" i="8"/>
  <c r="AC23" i="8" s="1"/>
  <c r="AB7" i="8"/>
  <c r="AB6" i="8" s="1"/>
  <c r="AB22" i="8"/>
  <c r="AC22" i="8" s="1"/>
  <c r="AB21" i="8" l="1"/>
  <c r="AC21" i="8" s="1"/>
  <c r="AB17" i="8"/>
  <c r="AC17" i="8" s="1"/>
  <c r="AA24" i="8"/>
  <c r="H42" i="8"/>
  <c r="AA18" i="8"/>
  <c r="AA26" i="8" s="1"/>
  <c r="I42" i="8"/>
  <c r="K42" i="8"/>
  <c r="AD9" i="8"/>
  <c r="AD20" i="8" s="1"/>
  <c r="AE20" i="8" s="1"/>
  <c r="J7" i="7"/>
  <c r="U28" i="7"/>
  <c r="AD8" i="8"/>
  <c r="AD14" i="8" s="1"/>
  <c r="AE14" i="8" s="1"/>
  <c r="T28" i="7"/>
  <c r="AD7" i="8"/>
  <c r="AD6" i="8" s="1"/>
  <c r="AF10" i="8"/>
  <c r="AD21" i="8" l="1"/>
  <c r="AE21" i="8" s="1"/>
  <c r="AD17" i="8"/>
  <c r="AE17" i="8" s="1"/>
  <c r="AC24" i="8"/>
  <c r="AF14" i="8"/>
  <c r="AF15" i="8"/>
  <c r="AF16" i="8"/>
  <c r="AC18" i="8"/>
  <c r="AF8" i="8"/>
  <c r="I7" i="7"/>
  <c r="I45" i="8"/>
  <c r="K45" i="8"/>
  <c r="AD23" i="8"/>
  <c r="AE23" i="8" s="1"/>
  <c r="AF9" i="8"/>
  <c r="AF17" i="8" l="1"/>
  <c r="AE24" i="8"/>
  <c r="G25" i="8"/>
  <c r="I25" i="8"/>
  <c r="K25" i="8"/>
  <c r="M25" i="8"/>
  <c r="O25" i="8"/>
  <c r="Q25" i="8"/>
  <c r="S25" i="8"/>
  <c r="U25" i="8"/>
  <c r="W25" i="8"/>
  <c r="Y25" i="8"/>
  <c r="AA25" i="8"/>
  <c r="AC25" i="8"/>
  <c r="AE25" i="8"/>
  <c r="AC26" i="8"/>
  <c r="L39" i="8"/>
  <c r="AF25" i="8" l="1"/>
  <c r="AF24" i="8"/>
  <c r="L44" i="8"/>
  <c r="AE18" i="8"/>
  <c r="AF21" i="8" s="1"/>
  <c r="L42" i="8"/>
  <c r="M42" i="8" s="1"/>
  <c r="L43" i="8"/>
  <c r="M43" i="8" s="1"/>
  <c r="M44" i="8"/>
  <c r="N39" i="8" l="1"/>
  <c r="N44" i="8" s="1"/>
  <c r="AF19" i="8"/>
  <c r="AF18" i="8"/>
  <c r="AF23" i="8"/>
  <c r="AF22" i="8"/>
  <c r="AF20" i="8"/>
  <c r="AE26" i="8"/>
  <c r="M45" i="8"/>
  <c r="N42" i="8" l="1"/>
  <c r="O42" i="8" s="1"/>
  <c r="N43" i="8"/>
  <c r="O43" i="8" s="1"/>
  <c r="O44" i="8"/>
  <c r="O45" i="8" l="1"/>
  <c r="P39" i="8"/>
  <c r="P44" i="8" s="1"/>
  <c r="Q44" i="8" s="1"/>
  <c r="AF13" i="8"/>
  <c r="P42" i="8" l="1"/>
  <c r="Q42" i="8" s="1"/>
  <c r="P43" i="8"/>
  <c r="Q43" i="8" s="1"/>
  <c r="Q45" i="8" l="1"/>
  <c r="R39" i="8"/>
  <c r="R43" i="8" l="1"/>
  <c r="R42" i="8"/>
  <c r="S42" i="8" s="1"/>
  <c r="R44" i="8"/>
  <c r="S44" i="8" s="1"/>
  <c r="S43" i="8" l="1"/>
  <c r="S45" i="8" s="1"/>
  <c r="T39" i="8" l="1"/>
  <c r="T44" i="8" s="1"/>
  <c r="U44" i="8" s="1"/>
  <c r="T42" i="8" l="1"/>
  <c r="U42" i="8" s="1"/>
  <c r="T43" i="8"/>
  <c r="U43" i="8" s="1"/>
  <c r="V39" i="8" l="1"/>
  <c r="V43" i="8" s="1"/>
  <c r="U45" i="8"/>
  <c r="V44" i="8" l="1"/>
  <c r="W44" i="8" s="1"/>
  <c r="V42" i="8"/>
  <c r="W42" i="8" s="1"/>
  <c r="W43" i="8"/>
  <c r="X39" i="8"/>
  <c r="X44" i="8" l="1"/>
  <c r="Y44" i="8" s="1"/>
  <c r="X42" i="8"/>
  <c r="Y42" i="8" s="1"/>
  <c r="X43" i="8"/>
  <c r="W45" i="8"/>
  <c r="Y43" i="8" l="1"/>
  <c r="Z39" i="8"/>
  <c r="Y45" i="8"/>
  <c r="G28" i="8"/>
  <c r="AE28" i="8"/>
  <c r="AD29" i="8" s="1"/>
  <c r="AC28" i="8"/>
  <c r="AB29" i="8" s="1"/>
  <c r="AA28" i="8"/>
  <c r="Z29" i="8" s="1"/>
  <c r="Y28" i="8"/>
  <c r="X29" i="8" s="1"/>
  <c r="W28" i="8"/>
  <c r="V29" i="8" s="1"/>
  <c r="U28" i="8"/>
  <c r="T29" i="8" s="1"/>
  <c r="S28" i="8"/>
  <c r="R29" i="8" s="1"/>
  <c r="Q28" i="8"/>
  <c r="P29" i="8" s="1"/>
  <c r="O28" i="8"/>
  <c r="N29" i="8" s="1"/>
  <c r="M28" i="8"/>
  <c r="L29" i="8" s="1"/>
  <c r="K28" i="8"/>
  <c r="J29" i="8" s="1"/>
  <c r="Z42" i="8" l="1"/>
  <c r="AA42" i="8" s="1"/>
  <c r="Z43" i="8"/>
  <c r="Z44" i="8"/>
  <c r="AA44" i="8" s="1"/>
  <c r="AF26" i="8"/>
  <c r="I28" i="8"/>
  <c r="AF28" i="8" s="1"/>
  <c r="F29" i="8"/>
  <c r="AA43" i="8" l="1"/>
  <c r="F30" i="8"/>
  <c r="H29" i="8"/>
  <c r="H30" i="8" l="1"/>
  <c r="J30" i="8" s="1"/>
  <c r="L30" i="8" s="1"/>
  <c r="N30" i="8" s="1"/>
  <c r="P30" i="8" s="1"/>
  <c r="R30" i="8" s="1"/>
  <c r="T30" i="8" s="1"/>
  <c r="V30" i="8" s="1"/>
  <c r="X30" i="8" s="1"/>
  <c r="Z30" i="8" s="1"/>
  <c r="AB30" i="8" s="1"/>
  <c r="AD30" i="8" s="1"/>
  <c r="AB39" i="8"/>
  <c r="AA45" i="8"/>
  <c r="AF29" i="8"/>
  <c r="AB44" i="8" l="1"/>
  <c r="AC44" i="8" s="1"/>
  <c r="AB42" i="8"/>
  <c r="AC42" i="8" s="1"/>
  <c r="AB43" i="8"/>
  <c r="AC43" i="8" l="1"/>
  <c r="AD39" i="8" s="1"/>
  <c r="AC45" i="8" l="1"/>
  <c r="AD42" i="8"/>
  <c r="AE42" i="8" s="1"/>
  <c r="AF42" i="8" s="1"/>
  <c r="AD43" i="8"/>
  <c r="AE43" i="8" s="1"/>
  <c r="AD44" i="8"/>
  <c r="AE44" i="8" s="1"/>
  <c r="AF43" i="8" l="1"/>
  <c r="AE45" i="8"/>
  <c r="AF44" i="8"/>
  <c r="AF45" i="8" s="1"/>
</calcChain>
</file>

<file path=xl/sharedStrings.xml><?xml version="1.0" encoding="utf-8"?>
<sst xmlns="http://schemas.openxmlformats.org/spreadsheetml/2006/main" count="439" uniqueCount="271">
  <si>
    <t>基準額</t>
  </si>
  <si>
    <t>費目</t>
    <rPh sb="0" eb="2">
      <t>ヒモク</t>
    </rPh>
    <phoneticPr fontId="2"/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</si>
  <si>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</si>
  <si>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</si>
  <si>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賛助金</t>
    <rPh sb="0" eb="2">
      <t>サンジョ</t>
    </rPh>
    <rPh sb="2" eb="3">
      <t>キン</t>
    </rPh>
    <phoneticPr fontId="2"/>
  </si>
  <si>
    <t>計</t>
    <rPh sb="0" eb="1">
      <t>ケイ</t>
    </rPh>
    <phoneticPr fontId="2"/>
  </si>
  <si>
    <t>日数（一般研修）</t>
    <rPh sb="0" eb="2">
      <t>ニッスウ</t>
    </rPh>
    <rPh sb="3" eb="5">
      <t>イッパン</t>
    </rPh>
    <rPh sb="5" eb="7">
      <t>ケンシュウ</t>
    </rPh>
    <phoneticPr fontId="2"/>
  </si>
  <si>
    <t>日数（実地研修）</t>
    <rPh sb="0" eb="2">
      <t>ニッスウ</t>
    </rPh>
    <rPh sb="3" eb="5">
      <t>ジッチ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</si>
  <si>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</si>
  <si>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</si>
  <si>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実地研修費</t>
    <rPh sb="0" eb="2">
      <t>ジッチ</t>
    </rPh>
    <rPh sb="2" eb="5">
      <t>ケンシュウヒ</t>
    </rPh>
    <phoneticPr fontId="2"/>
  </si>
  <si>
    <t>チェックイン当日</t>
    <rPh sb="6" eb="8">
      <t>トウジツ</t>
    </rPh>
    <phoneticPr fontId="2"/>
  </si>
  <si>
    <t>一般研修中</t>
    <rPh sb="0" eb="2">
      <t>イッパン</t>
    </rPh>
    <rPh sb="2" eb="5">
      <t>ケンシュウチュウ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</si>
  <si>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</si>
  <si>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</si>
  <si>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</si>
  <si>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</si>
  <si>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</si>
  <si>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</si>
  <si>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</si>
  <si>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</si>
  <si>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</si>
  <si>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</si>
  <si>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</si>
  <si>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</si>
  <si>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</si>
  <si>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日数計</t>
    <rPh sb="0" eb="2">
      <t>ニッスウ</t>
    </rPh>
    <rPh sb="2" eb="3">
      <t>ケイ</t>
    </rPh>
    <phoneticPr fontId="2"/>
  </si>
  <si>
    <t>滞在費</t>
    <rPh sb="0" eb="3">
      <t>タイザイヒ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</si>
  <si>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</si>
  <si>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</si>
  <si>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宿舎費</t>
    <rPh sb="0" eb="2">
      <t>シュクシャ</t>
    </rPh>
    <rPh sb="2" eb="3">
      <t>ヒ</t>
    </rPh>
    <phoneticPr fontId="2"/>
  </si>
  <si>
    <t>金額</t>
    <rPh sb="0" eb="2">
      <t>キンガク</t>
    </rPh>
    <phoneticPr fontId="2"/>
  </si>
  <si>
    <t>単価（\）</t>
    <rPh sb="0" eb="2">
      <t>タンカ</t>
    </rPh>
    <phoneticPr fontId="2"/>
  </si>
  <si>
    <t>実地研修中</t>
    <rPh sb="0" eb="2">
      <t>ジッチ</t>
    </rPh>
    <rPh sb="2" eb="5">
      <t>ケンシュウチュウ</t>
    </rPh>
    <phoneticPr fontId="2"/>
  </si>
  <si>
    <t>宿舎費+食費</t>
    <rPh sb="0" eb="2">
      <t>シュクシャ</t>
    </rPh>
    <rPh sb="2" eb="3">
      <t>ヒ</t>
    </rPh>
    <rPh sb="4" eb="6">
      <t>ショクヒ</t>
    </rPh>
    <phoneticPr fontId="2"/>
  </si>
  <si>
    <t>センター滞在中</t>
    <rPh sb="4" eb="7">
      <t>タイザイチュウ</t>
    </rPh>
    <phoneticPr fontId="2"/>
  </si>
  <si>
    <t>研修旅行中</t>
    <rPh sb="0" eb="2">
      <t>ケンシュウ</t>
    </rPh>
    <rPh sb="2" eb="4">
      <t>リョコウ</t>
    </rPh>
    <rPh sb="4" eb="5">
      <t>チュウ</t>
    </rPh>
    <phoneticPr fontId="2"/>
  </si>
  <si>
    <t>食費</t>
  </si>
  <si>
    <t>受入企業負担額</t>
    <rPh sb="0" eb="2">
      <t>ウケイレ</t>
    </rPh>
    <rPh sb="2" eb="4">
      <t>キギョウ</t>
    </rPh>
    <rPh sb="4" eb="6">
      <t>フタン</t>
    </rPh>
    <rPh sb="6" eb="7">
      <t>ガク</t>
    </rPh>
    <phoneticPr fontId="2"/>
  </si>
  <si>
    <t>日数/回</t>
    <rPh sb="0" eb="2">
      <t>ニッスウ</t>
    </rPh>
    <rPh sb="3" eb="4">
      <t>カイ</t>
    </rPh>
    <phoneticPr fontId="2"/>
  </si>
  <si>
    <t>補助率：</t>
    <rPh sb="0" eb="2">
      <t>ホジョ</t>
    </rPh>
    <rPh sb="2" eb="3">
      <t>リツ</t>
    </rPh>
    <phoneticPr fontId="2"/>
  </si>
  <si>
    <t>負担率：</t>
    <rPh sb="0" eb="2">
      <t>フタン</t>
    </rPh>
    <phoneticPr fontId="2"/>
  </si>
  <si>
    <t>日数/回</t>
    <phoneticPr fontId="2"/>
  </si>
  <si>
    <t>（国庫補助金）</t>
    <rPh sb="1" eb="3">
      <t>コッコ</t>
    </rPh>
    <rPh sb="3" eb="6">
      <t>ホジョキン</t>
    </rPh>
    <phoneticPr fontId="2"/>
  </si>
  <si>
    <t>食費</t>
    <rPh sb="0" eb="2">
      <t>ショクヒ</t>
    </rPh>
    <phoneticPr fontId="2"/>
  </si>
  <si>
    <t>【計算結果】</t>
    <rPh sb="1" eb="3">
      <t>ケイサン</t>
    </rPh>
    <rPh sb="3" eb="5">
      <t>ケッカ</t>
    </rPh>
    <phoneticPr fontId="2"/>
  </si>
  <si>
    <t>円／泊</t>
    <rPh sb="0" eb="1">
      <t>エン</t>
    </rPh>
    <rPh sb="2" eb="3">
      <t>ハク</t>
    </rPh>
    <phoneticPr fontId="2"/>
  </si>
  <si>
    <t>研修旅行中</t>
    <rPh sb="0" eb="2">
      <t>ケンシュウ</t>
    </rPh>
    <rPh sb="2" eb="5">
      <t>リョコウチュウ</t>
    </rPh>
    <phoneticPr fontId="2"/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</si>
  <si>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</si>
  <si>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</si>
  <si>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</si>
  <si>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</si>
  <si>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以外</t>
    <rPh sb="0" eb="2">
      <t>イガイ</t>
    </rPh>
    <phoneticPr fontId="2"/>
  </si>
  <si>
    <t>年月</t>
    <rPh sb="0" eb="1">
      <t>ネン</t>
    </rPh>
    <rPh sb="1" eb="2">
      <t>ツキ</t>
    </rPh>
    <phoneticPr fontId="2"/>
  </si>
  <si>
    <t>1回</t>
    <rPh sb="1" eb="2">
      <t>カイ</t>
    </rPh>
    <phoneticPr fontId="2"/>
  </si>
  <si>
    <t>対象期間：</t>
    <rPh sb="0" eb="2">
      <t>タイショウ</t>
    </rPh>
    <rPh sb="2" eb="4">
      <t>キカン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</si>
  <si>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</si>
  <si>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</si>
  <si>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</si>
  <si>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</si>
  <si>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</si>
  <si>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</si>
  <si>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</si>
  <si>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</si>
  <si>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</si>
  <si>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</si>
  <si>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チェックイン当日
（宿舎費+食費）</t>
    <rPh sb="6" eb="8">
      <t>トウジツ</t>
    </rPh>
    <rPh sb="10" eb="12">
      <t>シュクシャ</t>
    </rPh>
    <rPh sb="12" eb="13">
      <t>ヒ</t>
    </rPh>
    <rPh sb="14" eb="16">
      <t>ショクヒ</t>
    </rPh>
    <phoneticPr fontId="2"/>
  </si>
  <si>
    <t>センター滞在中
（宿舎費+食費）</t>
    <rPh sb="4" eb="7">
      <t>タイザイチュウ</t>
    </rPh>
    <rPh sb="9" eb="11">
      <t>シュクシャ</t>
    </rPh>
    <rPh sb="11" eb="12">
      <t>ヒ</t>
    </rPh>
    <rPh sb="13" eb="15">
      <t>ショクヒ</t>
    </rPh>
    <phoneticPr fontId="2"/>
  </si>
  <si>
    <t>【日程表】</t>
    <rPh sb="1" eb="3">
      <t>ニッテイ</t>
    </rPh>
    <rPh sb="3" eb="4">
      <t>ヒョウ</t>
    </rPh>
    <phoneticPr fontId="2"/>
  </si>
  <si>
    <t>日数/回</t>
    <phoneticPr fontId="2"/>
  </si>
  <si>
    <t>日数/回</t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</si>
  <si>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</si>
  <si>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</si>
  <si>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（日程表の項番に対応）</t>
    <rPh sb="3" eb="4">
      <t>ヒョウ</t>
    </rPh>
    <rPh sb="5" eb="6">
      <t>コウ</t>
    </rPh>
    <rPh sb="6" eb="7">
      <t>バン</t>
    </rPh>
    <rPh sb="8" eb="10">
      <t>タイオウ</t>
    </rPh>
    <phoneticPr fontId="2"/>
  </si>
  <si>
    <t>支払額</t>
    <rPh sb="0" eb="2">
      <t>シハライ</t>
    </rPh>
    <phoneticPr fontId="2"/>
  </si>
  <si>
    <t>実地研修</t>
    <rPh sb="0" eb="2">
      <t>ジッチ</t>
    </rPh>
    <rPh sb="2" eb="4">
      <t>ケンシュウ</t>
    </rPh>
    <phoneticPr fontId="2"/>
  </si>
  <si>
    <t>作成日：</t>
    <rPh sb="0" eb="3">
      <t>サクセイビ</t>
    </rPh>
    <phoneticPr fontId="2"/>
  </si>
  <si>
    <r>
      <t>1)　受入費等支出明細　</t>
    </r>
    <r>
      <rPr>
        <sz val="10"/>
        <rFont val="ＭＳ Ｐゴシック"/>
        <family val="3"/>
        <charset val="128"/>
      </rPr>
      <t>[コース開始前日にチェックイン、コース終了翌日にチェックアウトしたものとして設定]</t>
    </r>
    <rPh sb="3" eb="5">
      <t>ウケイレ</t>
    </rPh>
    <rPh sb="5" eb="6">
      <t>ヒ</t>
    </rPh>
    <rPh sb="6" eb="7">
      <t>トウ</t>
    </rPh>
    <rPh sb="7" eb="9">
      <t>シシュツ</t>
    </rPh>
    <rPh sb="9" eb="11">
      <t>メイサイ</t>
    </rPh>
    <phoneticPr fontId="2"/>
  </si>
  <si>
    <t>【試算条件】</t>
    <rPh sb="1" eb="3">
      <t>シサン</t>
    </rPh>
    <rPh sb="3" eb="5">
      <t>ジョウケン</t>
    </rPh>
    <phoneticPr fontId="2"/>
  </si>
  <si>
    <t>：手入力</t>
    <rPh sb="1" eb="2">
      <t>テ</t>
    </rPh>
    <rPh sb="2" eb="4">
      <t>ニュウリョク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</si>
  <si>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</si>
  <si>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</si>
  <si>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円</t>
    <rPh sb="0" eb="1">
      <t>エン</t>
    </rPh>
    <phoneticPr fontId="2"/>
  </si>
  <si>
    <t>3. 最後の宿泊場所～離日空港間：</t>
    <rPh sb="3" eb="5">
      <t>サイゴ</t>
    </rPh>
    <rPh sb="6" eb="8">
      <t>シュクハク</t>
    </rPh>
    <rPh sb="8" eb="10">
      <t>バショ</t>
    </rPh>
    <rPh sb="11" eb="13">
      <t>リニチ</t>
    </rPh>
    <rPh sb="13" eb="15">
      <t>クウコウ</t>
    </rPh>
    <rPh sb="15" eb="16">
      <t>カン</t>
    </rPh>
    <phoneticPr fontId="2"/>
  </si>
  <si>
    <t>2. 研修ｾﾝﾀｰ～最初の実地研修地間：</t>
    <rPh sb="3" eb="5">
      <t>ケンシュウ</t>
    </rPh>
    <rPh sb="10" eb="12">
      <t>サイショ</t>
    </rPh>
    <rPh sb="13" eb="15">
      <t>ジッチ</t>
    </rPh>
    <rPh sb="15" eb="17">
      <t>ケンシュウ</t>
    </rPh>
    <rPh sb="17" eb="18">
      <t>チ</t>
    </rPh>
    <rPh sb="18" eb="19">
      <t>カン</t>
    </rPh>
    <phoneticPr fontId="2"/>
  </si>
  <si>
    <t>（受入費等 計：①）</t>
    <rPh sb="1" eb="3">
      <t>ウケイレ</t>
    </rPh>
    <rPh sb="3" eb="5">
      <t>ヒナド</t>
    </rPh>
    <rPh sb="6" eb="7">
      <t>ケイ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</si>
  <si>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</si>
  <si>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</si>
  <si>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</si>
  <si>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</si>
  <si>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</si>
  <si>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</si>
  <si>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</si>
  <si>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</si>
  <si>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</si>
  <si>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</si>
  <si>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</si>
  <si>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</si>
  <si>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</si>
  <si>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</si>
  <si>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</si>
  <si>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</si>
  <si>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</si>
  <si>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</si>
  <si>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</si>
  <si>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</si>
  <si>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</si>
  <si>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</si>
  <si>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</si>
  <si>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</si>
  <si>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</si>
  <si>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センター滞在中</t>
    <rPh sb="4" eb="6">
      <t>タイザイ</t>
    </rPh>
    <rPh sb="6" eb="7">
      <t>チュウ</t>
    </rPh>
    <phoneticPr fontId="2"/>
  </si>
  <si>
    <t>受入費</t>
    <phoneticPr fontId="2"/>
  </si>
  <si>
    <t>賛助金</t>
    <phoneticPr fontId="2"/>
  </si>
  <si>
    <t>年度：</t>
    <rPh sb="0" eb="2">
      <t>ネンド</t>
    </rPh>
    <phoneticPr fontId="2"/>
  </si>
  <si>
    <t>研修旅行中</t>
  </si>
  <si>
    <t>計（円）</t>
    <rPh sb="0" eb="1">
      <t>ケイ</t>
    </rPh>
    <rPh sb="2" eb="3">
      <t>エン</t>
    </rPh>
    <phoneticPr fontId="2"/>
  </si>
  <si>
    <t>日数</t>
    <rPh sb="0" eb="2">
      <t>ニッスウ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</si>
  <si>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</si>
  <si>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累計差引支払額(※)</t>
    <rPh sb="0" eb="2">
      <t>ルイケイ</t>
    </rPh>
    <rPh sb="2" eb="4">
      <t>サシヒキ</t>
    </rPh>
    <rPh sb="4" eb="6">
      <t>シハライ</t>
    </rPh>
    <rPh sb="6" eb="7">
      <t>ガク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</si>
  <si>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</si>
  <si>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</si>
  <si>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</si>
  <si>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</si>
  <si>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</si>
  <si>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研修ｾﾝﾀｰ～実地研修地間</t>
    <rPh sb="0" eb="2">
      <t>ケンシュウ</t>
    </rPh>
    <rPh sb="7" eb="9">
      <t>ジッチ</t>
    </rPh>
    <rPh sb="9" eb="11">
      <t>ケンシュウ</t>
    </rPh>
    <rPh sb="11" eb="12">
      <t>チ</t>
    </rPh>
    <rPh sb="12" eb="13">
      <t>カン</t>
    </rPh>
    <phoneticPr fontId="2"/>
  </si>
  <si>
    <t>宿泊場所～離日空港間</t>
    <rPh sb="0" eb="2">
      <t>シュクハク</t>
    </rPh>
    <rPh sb="2" eb="4">
      <t>バショ</t>
    </rPh>
    <rPh sb="5" eb="7">
      <t>リニチ</t>
    </rPh>
    <rPh sb="7" eb="9">
      <t>クウコウ</t>
    </rPh>
    <rPh sb="9" eb="10">
      <t>カン</t>
    </rPh>
    <phoneticPr fontId="2"/>
  </si>
  <si>
    <t>1. 来日空港～研修ｾﾝﾀｰ間：</t>
    <rPh sb="3" eb="5">
      <t>ライニチ</t>
    </rPh>
    <rPh sb="5" eb="7">
      <t>クウコウ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</si>
  <si>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</si>
  <si>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</si>
  <si>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</si>
  <si>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国庫補助額</t>
    <rPh sb="0" eb="2">
      <t>コッコ</t>
    </rPh>
    <rPh sb="2" eb="4">
      <t>ホジョ</t>
    </rPh>
    <rPh sb="4" eb="5">
      <t>ガク</t>
    </rPh>
    <phoneticPr fontId="2"/>
  </si>
  <si>
    <t>実地研修中外部宿舎費（補助対象分）</t>
    <rPh sb="5" eb="7">
      <t>ガイブ</t>
    </rPh>
    <phoneticPr fontId="2"/>
  </si>
  <si>
    <t>【派遣元国】</t>
    <rPh sb="1" eb="4">
      <t>ハケンモト</t>
    </rPh>
    <rPh sb="4" eb="5">
      <t>クニ</t>
    </rPh>
    <phoneticPr fontId="2"/>
  </si>
  <si>
    <t>中国</t>
    <rPh sb="0" eb="2">
      <t>チュウゴク</t>
    </rPh>
    <phoneticPr fontId="2"/>
  </si>
  <si>
    <t>中国以外</t>
    <rPh sb="0" eb="2">
      <t>チュウゴク</t>
    </rPh>
    <rPh sb="2" eb="4">
      <t>イガイ</t>
    </rPh>
    <phoneticPr fontId="2"/>
  </si>
  <si>
    <t>TKC</t>
  </si>
  <si>
    <t>費目</t>
    <phoneticPr fontId="2"/>
  </si>
  <si>
    <t>費目</t>
    <rPh sb="0" eb="1">
      <t>ヒ</t>
    </rPh>
    <rPh sb="1" eb="2">
      <t>メ</t>
    </rPh>
    <phoneticPr fontId="2"/>
  </si>
  <si>
    <t>受入企業から外部及び研修生への支払額</t>
    <phoneticPr fontId="2"/>
  </si>
  <si>
    <t xml:space="preserve"> ※ 渡航費、国内移動費、および外部宿舎費の上限額を超える部分は、この表に含まれておりません。</t>
    <phoneticPr fontId="2"/>
  </si>
  <si>
    <t>【国内移動費】</t>
    <phoneticPr fontId="2"/>
  </si>
  <si>
    <t>研修センター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</si>
  <si>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</si>
  <si>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渡航費</t>
    <rPh sb="0" eb="3">
      <t>トコウヒ</t>
    </rPh>
    <phoneticPr fontId="2"/>
  </si>
  <si>
    <t>実地研修期間</t>
    <phoneticPr fontId="2"/>
  </si>
  <si>
    <t>合計</t>
    <rPh sb="0" eb="1">
      <t>ゴウ</t>
    </rPh>
    <rPh sb="1" eb="2">
      <t>ケイ</t>
    </rPh>
    <phoneticPr fontId="2"/>
  </si>
  <si>
    <t>基準額</t>
    <rPh sb="0" eb="2">
      <t>キジュン</t>
    </rPh>
    <rPh sb="2" eb="3">
      <t>ガク</t>
    </rPh>
    <phoneticPr fontId="2"/>
  </si>
  <si>
    <t>(1往復)</t>
  </si>
  <si>
    <t>補助金と賛助金</t>
  </si>
  <si>
    <t>国庫補助金</t>
    <rPh sb="0" eb="2">
      <t>コッコ</t>
    </rPh>
    <rPh sb="2" eb="4">
      <t>ホジョ</t>
    </rPh>
    <rPh sb="4" eb="5">
      <t>キン</t>
    </rPh>
    <phoneticPr fontId="2"/>
  </si>
  <si>
    <t>航空券代</t>
    <rPh sb="0" eb="3">
      <t>コウクウケン</t>
    </rPh>
    <rPh sb="3" eb="4">
      <t>ダイ</t>
    </rPh>
    <phoneticPr fontId="23"/>
  </si>
  <si>
    <t>実地研修費用</t>
    <rPh sb="0" eb="2">
      <t>ジッチ</t>
    </rPh>
    <rPh sb="2" eb="4">
      <t>ケンシュウ</t>
    </rPh>
    <rPh sb="4" eb="6">
      <t>ヒヨウ</t>
    </rPh>
    <phoneticPr fontId="23"/>
  </si>
  <si>
    <t>受入企業が研修生や業者へ支払う</t>
    <rPh sb="0" eb="2">
      <t>ウケイレ</t>
    </rPh>
    <rPh sb="2" eb="4">
      <t>キギョウ</t>
    </rPh>
    <rPh sb="5" eb="8">
      <t>ケンシュウセイ</t>
    </rPh>
    <rPh sb="9" eb="11">
      <t>ギョウシャ</t>
    </rPh>
    <rPh sb="12" eb="14">
      <t>シハラ</t>
    </rPh>
    <phoneticPr fontId="23"/>
  </si>
  <si>
    <t>国内移動費</t>
    <rPh sb="0" eb="2">
      <t>コクナイ</t>
    </rPh>
    <rPh sb="2" eb="4">
      <t>イドウ</t>
    </rPh>
    <rPh sb="4" eb="5">
      <t>ヒ</t>
    </rPh>
    <phoneticPr fontId="23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</si>
  <si>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</si>
  <si>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</si>
  <si>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</si>
  <si>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</si>
  <si>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中堅・中小企業</t>
    <rPh sb="0" eb="2">
      <t>チュウケン</t>
    </rPh>
    <rPh sb="3" eb="5">
      <t>チュウショウ</t>
    </rPh>
    <rPh sb="5" eb="7">
      <t>キギョウ</t>
    </rPh>
    <phoneticPr fontId="2"/>
  </si>
  <si>
    <t>宿泊費</t>
    <rPh sb="0" eb="3">
      <t>シュクハクヒ</t>
    </rPh>
    <phoneticPr fontId="2"/>
  </si>
  <si>
    <t>低炭素技術輸出促進人材育成支援事業／中堅・中小企業</t>
    <phoneticPr fontId="2"/>
  </si>
  <si>
    <t>実地研修中の宿泊　：　</t>
    <phoneticPr fontId="2"/>
  </si>
  <si>
    <t>Ⅶ．</t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</si>
  <si>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</si>
  <si>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</si>
  <si>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</si>
  <si>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企業名　：</t>
    <rPh sb="0" eb="2">
      <t>キギョウ</t>
    </rPh>
    <rPh sb="2" eb="3">
      <t>メイ</t>
    </rPh>
    <phoneticPr fontId="2"/>
  </si>
  <si>
    <t>Ⅰ．</t>
    <phoneticPr fontId="2"/>
  </si>
  <si>
    <t>研修申込区分　：</t>
    <rPh sb="0" eb="2">
      <t>ケンシュウ</t>
    </rPh>
    <rPh sb="2" eb="3">
      <t>モウ</t>
    </rPh>
    <rPh sb="3" eb="4">
      <t>コミ</t>
    </rPh>
    <phoneticPr fontId="2"/>
  </si>
  <si>
    <t>来日日　：</t>
    <rPh sb="0" eb="2">
      <t>ライニチ</t>
    </rPh>
    <rPh sb="2" eb="3">
      <t>ビ</t>
    </rPh>
    <phoneticPr fontId="2"/>
  </si>
  <si>
    <t>Ⅱ．</t>
    <phoneticPr fontId="2"/>
  </si>
  <si>
    <t>Ⅲ．</t>
    <phoneticPr fontId="2"/>
  </si>
  <si>
    <t>Ⅳ．</t>
    <phoneticPr fontId="2"/>
  </si>
  <si>
    <t>Ⅵ．</t>
    <phoneticPr fontId="2"/>
  </si>
  <si>
    <t>Ⅷ．</t>
    <phoneticPr fontId="2"/>
  </si>
  <si>
    <t>国内移動費　：　受入企業負担率は掛かりません。</t>
    <rPh sb="0" eb="2">
      <t>コクナイ</t>
    </rPh>
    <rPh sb="2" eb="4">
      <t>イドウ</t>
    </rPh>
    <rPh sb="4" eb="5">
      <t>ヒ</t>
    </rPh>
    <rPh sb="8" eb="10">
      <t>ウケイレ</t>
    </rPh>
    <rPh sb="10" eb="12">
      <t>キギョウ</t>
    </rPh>
    <rPh sb="12" eb="14">
      <t>フタン</t>
    </rPh>
    <rPh sb="14" eb="15">
      <t>リツ</t>
    </rPh>
    <rPh sb="16" eb="17">
      <t>カ</t>
    </rPh>
    <phoneticPr fontId="2"/>
  </si>
  <si>
    <t>+</t>
    <phoneticPr fontId="2"/>
  </si>
  <si>
    <t>低炭素技術輸出促進人材育成支援事業／一般企業 1/3補助</t>
    <rPh sb="18" eb="20">
      <t>イッパン</t>
    </rPh>
    <rPh sb="20" eb="22">
      <t>キギョウ</t>
    </rPh>
    <rPh sb="26" eb="28">
      <t>ホジョ</t>
    </rPh>
    <phoneticPr fontId="2"/>
  </si>
  <si>
    <t>低炭素技術輸出促進人材育成支援事業／一般企業 1/2補助</t>
    <rPh sb="18" eb="20">
      <t>イッパン</t>
    </rPh>
    <rPh sb="20" eb="22">
      <t>キギョウ</t>
    </rPh>
    <rPh sb="26" eb="28">
      <t>ホジョ</t>
    </rPh>
    <phoneticPr fontId="2"/>
  </si>
  <si>
    <t xml:space="preserve"> 滞在費</t>
    <rPh sb="1" eb="4">
      <t>タイザイヒ</t>
    </rPh>
    <phoneticPr fontId="23"/>
  </si>
  <si>
    <t xml:space="preserve">   雑費</t>
    <rPh sb="3" eb="5">
      <t>ザッピ</t>
    </rPh>
    <phoneticPr fontId="23"/>
  </si>
  <si>
    <t xml:space="preserve">   食費</t>
    <rPh sb="3" eb="5">
      <t>ショクヒ</t>
    </rPh>
    <phoneticPr fontId="23"/>
  </si>
  <si>
    <t xml:space="preserve">   センター利用料</t>
    <rPh sb="7" eb="10">
      <t>リヨウリョウ</t>
    </rPh>
    <phoneticPr fontId="23"/>
  </si>
  <si>
    <t xml:space="preserve"> 実地研修費</t>
    <rPh sb="1" eb="3">
      <t>ジッチ</t>
    </rPh>
    <rPh sb="3" eb="5">
      <t>ケンシュウ</t>
    </rPh>
    <rPh sb="5" eb="6">
      <t>ヒ</t>
    </rPh>
    <phoneticPr fontId="23"/>
  </si>
  <si>
    <t xml:space="preserve"> 国内移動費</t>
    <phoneticPr fontId="2"/>
  </si>
  <si>
    <t>国内移動費</t>
    <rPh sb="0" eb="2">
      <t>コクナイ</t>
    </rPh>
    <rPh sb="2" eb="4">
      <t>イドウ</t>
    </rPh>
    <rPh sb="4" eb="5">
      <t>ヒ</t>
    </rPh>
    <phoneticPr fontId="2"/>
  </si>
  <si>
    <t>-</t>
    <phoneticPr fontId="2"/>
  </si>
  <si>
    <t>受入費等基準額</t>
    <rPh sb="0" eb="2">
      <t>ウケイレ</t>
    </rPh>
    <rPh sb="2" eb="3">
      <t>ヒ</t>
    </rPh>
    <rPh sb="3" eb="4">
      <t>トウ</t>
    </rPh>
    <rPh sb="4" eb="6">
      <t>キジュン</t>
    </rPh>
    <rPh sb="6" eb="7">
      <t>ガク</t>
    </rPh>
    <phoneticPr fontId="23"/>
  </si>
  <si>
    <t>　宿舎費</t>
    <rPh sb="1" eb="3">
      <t>シュクシャ</t>
    </rPh>
    <rPh sb="3" eb="4">
      <t>ヒ</t>
    </rPh>
    <phoneticPr fontId="2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</si>
  <si>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</si>
  <si>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支払先</t>
    <rPh sb="0" eb="2">
      <t>シハライ</t>
    </rPh>
    <rPh sb="2" eb="3">
      <t>サキ</t>
    </rPh>
    <phoneticPr fontId="2"/>
  </si>
  <si>
    <t>支出額</t>
    <rPh sb="0" eb="2">
      <t>シシュツ</t>
    </rPh>
    <rPh sb="2" eb="3">
      <t>ガク</t>
    </rPh>
    <phoneticPr fontId="2"/>
  </si>
  <si>
    <t>研修生</t>
    <rPh sb="0" eb="3">
      <t>ケンシュウセイ</t>
    </rPh>
    <phoneticPr fontId="2"/>
  </si>
  <si>
    <t>実地研修中 食費</t>
    <rPh sb="0" eb="2">
      <t>ジッチ</t>
    </rPh>
    <rPh sb="2" eb="5">
      <t>ケンシュウチュウ</t>
    </rPh>
    <rPh sb="6" eb="8">
      <t>ショクヒ</t>
    </rPh>
    <phoneticPr fontId="2"/>
  </si>
  <si>
    <t>現金払い</t>
    <rPh sb="0" eb="2">
      <t>ゲンキン</t>
    </rPh>
    <rPh sb="2" eb="3">
      <t>バラ</t>
    </rPh>
    <phoneticPr fontId="2"/>
  </si>
  <si>
    <t>渡航費</t>
    <rPh sb="0" eb="2">
      <t>トコウ</t>
    </rPh>
    <rPh sb="2" eb="3">
      <t>ヒ</t>
    </rPh>
    <phoneticPr fontId="2"/>
  </si>
  <si>
    <t>JR等</t>
    <rPh sb="2" eb="3">
      <t>トウ</t>
    </rPh>
    <phoneticPr fontId="2"/>
  </si>
  <si>
    <t>生活費</t>
    <rPh sb="0" eb="3">
      <t>セイカツヒ</t>
    </rPh>
    <phoneticPr fontId="2"/>
  </si>
  <si>
    <t>受入企業</t>
    <rPh sb="0" eb="2">
      <t>ウケイレ</t>
    </rPh>
    <rPh sb="2" eb="4">
      <t>キギョウ</t>
    </rPh>
    <phoneticPr fontId="2"/>
  </si>
  <si>
    <t>研修費等</t>
    <rPh sb="0" eb="2">
      <t>ケンシュウ</t>
    </rPh>
    <rPh sb="2" eb="3">
      <t>ヒ</t>
    </rPh>
    <rPh sb="3" eb="4">
      <t>トウ</t>
    </rPh>
    <phoneticPr fontId="2"/>
  </si>
  <si>
    <t>合　　計</t>
    <rPh sb="0" eb="1">
      <t>ア</t>
    </rPh>
    <rPh sb="3" eb="4">
      <t>ケイ</t>
    </rPh>
    <phoneticPr fontId="2"/>
  </si>
  <si>
    <t>旅費</t>
    <rPh sb="0" eb="2">
      <t>リョヒ</t>
    </rPh>
    <phoneticPr fontId="2"/>
  </si>
  <si>
    <t>渡航費　：</t>
    <phoneticPr fontId="2"/>
  </si>
  <si>
    <t xml:space="preserve"> 渡航費</t>
    <rPh sb="1" eb="3">
      <t>トコウ</t>
    </rPh>
    <rPh sb="3" eb="4">
      <t>ヒ</t>
    </rPh>
    <phoneticPr fontId="23"/>
  </si>
  <si>
    <t>【費用の使途(支払先別)】</t>
    <rPh sb="1" eb="3">
      <t>ヒヨウ</t>
    </rPh>
    <rPh sb="4" eb="6">
      <t>シト</t>
    </rPh>
    <rPh sb="7" eb="9">
      <t>シハライ</t>
    </rPh>
    <rPh sb="9" eb="10">
      <t>サキ</t>
    </rPh>
    <rPh sb="10" eb="11">
      <t>ベツ</t>
    </rPh>
    <phoneticPr fontId="2"/>
  </si>
  <si>
    <t>費用の使途</t>
    <rPh sb="0" eb="2">
      <t>ヒヨウ</t>
    </rPh>
    <rPh sb="3" eb="5">
      <t>シト</t>
    </rPh>
    <phoneticPr fontId="2"/>
  </si>
  <si>
    <t>社員寮、借上げアパート</t>
    <rPh sb="0" eb="3">
      <t>シャインリョウ</t>
    </rPh>
    <rPh sb="4" eb="6">
      <t>カリア</t>
    </rPh>
    <phoneticPr fontId="2"/>
  </si>
  <si>
    <t>研修生へは現物提供</t>
    <rPh sb="0" eb="3">
      <t>ケンシュウセイ</t>
    </rPh>
    <rPh sb="5" eb="7">
      <t>ゲンブツ</t>
    </rPh>
    <rPh sb="7" eb="9">
      <t>テイキョウ</t>
    </rPh>
    <phoneticPr fontId="2"/>
  </si>
  <si>
    <t>指導員人件費、作業着、テキスト等</t>
    <rPh sb="0" eb="3">
      <t>シドウイン</t>
    </rPh>
    <rPh sb="3" eb="6">
      <t>ジンケンヒ</t>
    </rPh>
    <rPh sb="7" eb="10">
      <t>サギョウギ</t>
    </rPh>
    <rPh sb="15" eb="16">
      <t>トウ</t>
    </rPh>
    <phoneticPr fontId="2"/>
  </si>
  <si>
    <t>研修生への食費</t>
    <rPh sb="0" eb="3">
      <t>ケンシュウセイ</t>
    </rPh>
    <rPh sb="5" eb="7">
      <t>ショクヒ</t>
    </rPh>
    <phoneticPr fontId="23"/>
  </si>
  <si>
    <t>研修生への雑費</t>
    <rPh sb="0" eb="3">
      <t>ケンシュウセイ</t>
    </rPh>
    <rPh sb="5" eb="7">
      <t>ザッピ</t>
    </rPh>
    <phoneticPr fontId="23"/>
  </si>
  <si>
    <t>(A)　-　(B)</t>
    <phoneticPr fontId="23"/>
  </si>
  <si>
    <t>備　　考</t>
    <rPh sb="0" eb="1">
      <t>ソナエ</t>
    </rPh>
    <rPh sb="3" eb="4">
      <t>コウ</t>
    </rPh>
    <phoneticPr fontId="2"/>
  </si>
  <si>
    <t>基準額超過分は受入企業負担</t>
    <rPh sb="2" eb="3">
      <t>ガク</t>
    </rPh>
    <phoneticPr fontId="2"/>
  </si>
  <si>
    <t>商業ホテル、旅館等</t>
    <rPh sb="0" eb="2">
      <t>ショウギョウ</t>
    </rPh>
    <rPh sb="6" eb="8">
      <t>リョカン</t>
    </rPh>
    <rPh sb="8" eb="9">
      <t>トウ</t>
    </rPh>
    <phoneticPr fontId="2"/>
  </si>
  <si>
    <t>計（①）</t>
    <phoneticPr fontId="2"/>
  </si>
  <si>
    <t>計（②）</t>
    <phoneticPr fontId="2"/>
  </si>
  <si>
    <t>計（③）</t>
    <phoneticPr fontId="2"/>
  </si>
  <si>
    <t>国内移動費(②')</t>
    <rPh sb="0" eb="2">
      <t>コクナイ</t>
    </rPh>
    <rPh sb="2" eb="4">
      <t>イドウ</t>
    </rPh>
    <rPh sb="4" eb="5">
      <t>ヒ</t>
    </rPh>
    <phoneticPr fontId="2"/>
  </si>
  <si>
    <t>当月差引支払額（(②＋②')-③）</t>
    <rPh sb="0" eb="2">
      <t>トウゲツ</t>
    </rPh>
    <rPh sb="2" eb="4">
      <t>サシヒキ</t>
    </rPh>
    <rPh sb="4" eb="6">
      <t>シハライ</t>
    </rPh>
    <rPh sb="6" eb="7">
      <t>ガク</t>
    </rPh>
    <phoneticPr fontId="2"/>
  </si>
  <si>
    <t>旅行代理店等</t>
    <rPh sb="0" eb="2">
      <t>リョコウ</t>
    </rPh>
    <rPh sb="2" eb="4">
      <t>ダイリ</t>
    </rPh>
    <rPh sb="4" eb="5">
      <t>テン</t>
    </rPh>
    <rPh sb="5" eb="6">
      <t>トウ</t>
    </rPh>
    <phoneticPr fontId="2"/>
  </si>
  <si>
    <t>外部宿舎費（上で｢外部宿舎｣を選択の場合）：</t>
    <rPh sb="0" eb="2">
      <t>ガイブ</t>
    </rPh>
    <rPh sb="2" eb="4">
      <t>シュクシャ</t>
    </rPh>
    <rPh sb="4" eb="5">
      <t>ヒ</t>
    </rPh>
    <rPh sb="9" eb="11">
      <t>ガイブ</t>
    </rPh>
    <rPh sb="11" eb="13">
      <t>シュクシャ</t>
    </rPh>
    <phoneticPr fontId="2"/>
  </si>
  <si>
    <t>費　　目</t>
    <rPh sb="0" eb="1">
      <t>ヒ</t>
    </rPh>
    <rPh sb="3" eb="4">
      <t>メ</t>
    </rPh>
    <phoneticPr fontId="2"/>
  </si>
  <si>
    <t>費　　目</t>
    <phoneticPr fontId="2"/>
  </si>
  <si>
    <t>センター
　　利用料等</t>
    <rPh sb="7" eb="10">
      <t>リヨウリョウ</t>
    </rPh>
    <rPh sb="10" eb="11">
      <t>トウ</t>
    </rPh>
    <phoneticPr fontId="2"/>
  </si>
  <si>
    <t>【国内移動費基準額】　（2015.04現在）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</si>
  <si>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研修旅行</t>
    <rPh sb="0" eb="2">
      <t>ケンシュウ</t>
    </rPh>
    <rPh sb="2" eb="4">
      <t>リョコウ</t>
    </rPh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</si>
  <si>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</si>
  <si>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</si>
  <si>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：9D,A9D費用試算シート 【試算条件】での選択値</t>
    <rPh sb="7" eb="9">
      <t>ヒヨウ</t>
    </rPh>
    <rPh sb="9" eb="11">
      <t>シサン</t>
    </rPh>
    <rPh sb="16" eb="18">
      <t>シサン</t>
    </rPh>
    <rPh sb="18" eb="20">
      <t>ジョウケン</t>
    </rPh>
    <rPh sb="23" eb="25">
      <t>センタク</t>
    </rPh>
    <rPh sb="25" eb="26">
      <t>チ</t>
    </rPh>
    <phoneticPr fontId="2"/>
  </si>
  <si>
    <r>
      <t>実地研修中 宿舎費</t>
    </r>
    <r>
      <rPr>
        <sz val="8"/>
        <rFont val="ＭＳ Ｐゴシック"/>
        <family val="3"/>
        <charset val="128"/>
      </rPr>
      <t>(外部宿舎利用時)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ガイブ</t>
    </rPh>
    <rPh sb="12" eb="14">
      <t>シュクシャ</t>
    </rPh>
    <rPh sb="14" eb="16">
      <t>リヨウ</t>
    </rPh>
    <rPh sb="16" eb="17">
      <t>ジ</t>
    </rPh>
    <phoneticPr fontId="2"/>
  </si>
  <si>
    <r>
      <t>実地研修中 宿舎費</t>
    </r>
    <r>
      <rPr>
        <sz val="8"/>
        <rFont val="ＭＳ Ｐゴシック"/>
        <family val="3"/>
        <charset val="128"/>
      </rPr>
      <t>（会社施設利用時）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カイシャ</t>
    </rPh>
    <rPh sb="12" eb="14">
      <t>シセツ</t>
    </rPh>
    <rPh sb="14" eb="16">
      <t>リヨウ</t>
    </rPh>
    <rPh sb="16" eb="17">
      <t>ジ</t>
    </rPh>
    <phoneticPr fontId="2"/>
  </si>
  <si>
    <t>国内移動費</t>
    <phoneticPr fontId="2"/>
  </si>
  <si>
    <t>2)　賛助金　[受入企業負担の総額]</t>
    <rPh sb="3" eb="5">
      <t>サンジョ</t>
    </rPh>
    <rPh sb="5" eb="6">
      <t>キン</t>
    </rPh>
    <rPh sb="15" eb="17">
      <t>ソウガク</t>
    </rPh>
    <phoneticPr fontId="2"/>
  </si>
  <si>
    <t>②</t>
    <phoneticPr fontId="2"/>
  </si>
  <si>
    <t>③</t>
    <phoneticPr fontId="2"/>
  </si>
  <si>
    <t>一般研修コース：</t>
    <rPh sb="0" eb="2">
      <t>イッパン</t>
    </rPh>
    <rPh sb="2" eb="4">
      <t>ケンシュウ</t>
    </rPh>
    <phoneticPr fontId="2"/>
  </si>
  <si>
    <t>9D,A9D</t>
    <phoneticPr fontId="2"/>
  </si>
  <si>
    <t>技術協力活用型・新興国市場開拓事業（研修・専門家派遣事業）／一般企業（一般分野）</t>
    <rPh sb="30" eb="32">
      <t>イッパン</t>
    </rPh>
    <rPh sb="35" eb="37">
      <t>イッパン</t>
    </rPh>
    <rPh sb="37" eb="39">
      <t>ブンヤ</t>
    </rPh>
    <phoneticPr fontId="2"/>
  </si>
  <si>
    <t>技術協力活用型・新興国市場開拓事業（研修・専門家派遣事業）／中堅・中小企業</t>
    <rPh sb="30" eb="32">
      <t>チュウケン</t>
    </rPh>
    <phoneticPr fontId="2"/>
  </si>
  <si>
    <t>一般企業</t>
    <rPh sb="0" eb="2">
      <t>イッパン</t>
    </rPh>
    <rPh sb="2" eb="4">
      <t>キギョウ</t>
    </rPh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</si>
  <si>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rPh sb="0" eb="3">
      <t>トコウヒ</t>
    </rPh>
    <rPh sb="4" eb="7">
      <t>テイタンソ</t>
    </rPh>
    <rPh sb="9" eb="11">
      <t>ホジョ</t>
    </rPh>
    <rPh sb="11" eb="13">
      <t>タイショウ</t>
    </rPh>
    <phoneticPr fontId="2"/>
  </si>
  <si>
    <t>(A)企業が立替える</t>
    <rPh sb="6" eb="8">
      <t>タテカ</t>
    </rPh>
    <phoneticPr fontId="2"/>
  </si>
  <si>
    <t>研修期間　：</t>
    <rPh sb="0" eb="2">
      <t>ケンシュウ</t>
    </rPh>
    <rPh sb="2" eb="4">
      <t>キカン</t>
    </rPh>
    <phoneticPr fontId="2"/>
  </si>
  <si>
    <t>補助対象日数　：</t>
    <rPh sb="0" eb="2">
      <t>ホジョ</t>
    </rPh>
    <rPh sb="2" eb="4">
      <t>タイショウ</t>
    </rPh>
    <rPh sb="4" eb="6">
      <t>ニッスウ</t>
    </rPh>
    <phoneticPr fontId="2"/>
  </si>
  <si>
    <t>日数
(来日日含まず)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</si>
  <si>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日 （来日日を含む）</t>
    <rPh sb="3" eb="5">
      <t>ライニチ</t>
    </rPh>
    <rPh sb="5" eb="6">
      <t>ビ</t>
    </rPh>
    <rPh sb="7" eb="8">
      <t>フク</t>
    </rPh>
    <phoneticPr fontId="2"/>
  </si>
  <si>
    <t>企業が立替える受入費（A)</t>
    <rPh sb="7" eb="9">
      <t>ウケイレ</t>
    </rPh>
    <rPh sb="9" eb="10">
      <t>ヒ</t>
    </rPh>
    <phoneticPr fontId="2"/>
  </si>
  <si>
    <t>AOTS制度利用の費用試算（企業受入・一人あたり）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</si>
  <si>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</si>
  <si>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3)　AOTSにて直接執行した受入費（研修センター利用料）</t>
    <phoneticPr fontId="3"/>
  </si>
  <si>
    <t>【受入費の流れ（AOTSと企業の精算）】</t>
    <rPh sb="1" eb="3">
      <t>ウケイレ</t>
    </rPh>
    <rPh sb="3" eb="4">
      <t>ヒ</t>
    </rPh>
    <rPh sb="5" eb="6">
      <t>ナガ</t>
    </rPh>
    <rPh sb="13" eb="15">
      <t>キギョウ</t>
    </rPh>
    <rPh sb="16" eb="18">
      <t>セイサン</t>
    </rPh>
    <phoneticPr fontId="2"/>
  </si>
  <si>
    <t>AOTSが直接執行した受入費</t>
    <rPh sb="5" eb="7">
      <t>チョクセツ</t>
    </rPh>
    <rPh sb="7" eb="9">
      <t>シッコウ</t>
    </rPh>
    <rPh sb="11" eb="13">
      <t>ウケイレ</t>
    </rPh>
    <rPh sb="13" eb="14">
      <t>ヒ</t>
    </rPh>
    <phoneticPr fontId="2"/>
  </si>
  <si>
    <t xml:space="preserve">(B)AOTSに払う </t>
    <rPh sb="8" eb="9">
      <t>ハラ</t>
    </rPh>
    <phoneticPr fontId="23"/>
  </si>
  <si>
    <t>企業とAOTSの精算</t>
    <rPh sb="0" eb="2">
      <t>キギョウ</t>
    </rPh>
    <rPh sb="8" eb="10">
      <t>セイサン</t>
    </rPh>
    <phoneticPr fontId="23"/>
  </si>
  <si>
    <t>AOTSから企業へお支払いいたします</t>
    <rPh sb="6" eb="8">
      <t>キギョウ</t>
    </rPh>
    <rPh sb="10" eb="12">
      <t>シハラ</t>
    </rPh>
    <phoneticPr fontId="2"/>
  </si>
  <si>
    <t>AOTSが直接執行した
受入費</t>
    <rPh sb="5" eb="7">
      <t>チョクセツ</t>
    </rPh>
    <rPh sb="7" eb="9">
      <t>シッコウ</t>
    </rPh>
    <rPh sb="12" eb="14">
      <t>ウケイレ</t>
    </rPh>
    <rPh sb="14" eb="15">
      <t>ヒ</t>
    </rPh>
    <phoneticPr fontId="2"/>
  </si>
  <si>
    <t>企業が立て替える
受入費</t>
    <rPh sb="0" eb="2">
      <t>キギョウ</t>
    </rPh>
    <rPh sb="3" eb="4">
      <t>タ</t>
    </rPh>
    <rPh sb="5" eb="6">
      <t>カ</t>
    </rPh>
    <rPh sb="9" eb="11">
      <t>ウケイレ</t>
    </rPh>
    <rPh sb="11" eb="12">
      <t>ヒ</t>
    </rPh>
    <phoneticPr fontId="2"/>
  </si>
  <si>
    <r>
      <t xml:space="preserve"> ※ 累計差引支払額が</t>
    </r>
    <r>
      <rPr>
        <sz val="10"/>
        <color indexed="10"/>
        <rFont val="ＭＳ Ｐゴシック"/>
        <family val="3"/>
        <charset val="128"/>
      </rPr>
      <t>プラスになった時点</t>
    </r>
    <r>
      <rPr>
        <sz val="10"/>
        <rFont val="ＭＳ Ｐゴシック"/>
        <family val="3"/>
        <charset val="128"/>
      </rPr>
      <t>（灰色の月）以降、AOTSから受入企業へ当月差引支払額が支払われます。</t>
    </r>
    <rPh sb="21" eb="23">
      <t>ハイイロ</t>
    </rPh>
    <phoneticPr fontId="2"/>
  </si>
  <si>
    <t>企業からAOTSへお支払いいただきます</t>
    <rPh sb="0" eb="2">
      <t>キギョウ</t>
    </rPh>
    <rPh sb="10" eb="12">
      <t>シハラ</t>
    </rPh>
    <phoneticPr fontId="2"/>
  </si>
  <si>
    <t>※運営賛助金については、別途詳細をご説明します。https://www.aots.jp/jp/ikusei/training/sanjo_dantai.html</t>
    <phoneticPr fontId="2"/>
  </si>
  <si>
    <t>研修実施分担金額</t>
    <rPh sb="0" eb="2">
      <t>ケンシュウ</t>
    </rPh>
    <rPh sb="2" eb="4">
      <t>ジッシ</t>
    </rPh>
    <rPh sb="4" eb="6">
      <t>ブンタン</t>
    </rPh>
    <rPh sb="6" eb="8">
      <t>キンガク</t>
    </rPh>
    <phoneticPr fontId="2"/>
  </si>
  <si>
    <r>
      <rPr>
        <sz val="10"/>
        <color theme="1"/>
        <rFont val="ＭＳ Ｐゴシック"/>
        <family val="3"/>
        <charset val="128"/>
      </rPr>
      <t>★★</t>
    </r>
    <r>
      <rPr>
        <sz val="11"/>
        <color theme="1"/>
        <rFont val="ＭＳ Ｐゴシック"/>
        <family val="3"/>
        <charset val="128"/>
      </rPr>
      <t>研修実施分担金額</t>
    </r>
    <rPh sb="2" eb="4">
      <t>ケンシュウ</t>
    </rPh>
    <rPh sb="4" eb="6">
      <t>ジッシ</t>
    </rPh>
    <rPh sb="6" eb="8">
      <t>ブンタン</t>
    </rPh>
    <rPh sb="8" eb="10">
      <t>キンガク</t>
    </rPh>
    <phoneticPr fontId="2"/>
  </si>
  <si>
    <t>技術協力活用型・新興国市場開拓事業（研修・専門家派遣事業）／一般企業（重点分野）</t>
    <rPh sb="0" eb="2">
      <t>ギジュツ</t>
    </rPh>
    <rPh sb="2" eb="4">
      <t>キョウリョク</t>
    </rPh>
    <rPh sb="4" eb="7">
      <t>カツヨウガタ</t>
    </rPh>
    <rPh sb="8" eb="10">
      <t>シンコウ</t>
    </rPh>
    <rPh sb="10" eb="11">
      <t>コク</t>
    </rPh>
    <rPh sb="11" eb="13">
      <t>シジョウ</t>
    </rPh>
    <rPh sb="13" eb="15">
      <t>カイタク</t>
    </rPh>
    <rPh sb="15" eb="17">
      <t>ジギョウ</t>
    </rPh>
    <rPh sb="18" eb="20">
      <t>ケンシュウ</t>
    </rPh>
    <rPh sb="21" eb="24">
      <t>センモンカ</t>
    </rPh>
    <rPh sb="24" eb="26">
      <t>ハケン</t>
    </rPh>
    <rPh sb="26" eb="28">
      <t>ジギョウ</t>
    </rPh>
    <rPh sb="30" eb="32">
      <t>イッパン</t>
    </rPh>
    <rPh sb="35" eb="37">
      <t>ジュウテン</t>
    </rPh>
    <rPh sb="37" eb="39">
      <t>ブンヤ</t>
    </rPh>
    <phoneticPr fontId="2"/>
  </si>
  <si>
    <t>★受入分担金</t>
    <phoneticPr fontId="2"/>
  </si>
  <si>
    <t>（受入分担金）</t>
    <phoneticPr fontId="2"/>
  </si>
  <si>
    <t>受入分担金</t>
    <phoneticPr fontId="2"/>
  </si>
  <si>
    <t>★受入分担金</t>
    <phoneticPr fontId="2"/>
  </si>
  <si>
    <t>受入分担金</t>
    <phoneticPr fontId="2"/>
  </si>
  <si>
    <t>（低炭素技術輸出促進人材育成支援事業の中堅・中小企業のみ補助対象）</t>
    <rPh sb="19" eb="21">
      <t>チュウケン</t>
    </rPh>
    <rPh sb="22" eb="24">
      <t>チュウショウ</t>
    </rPh>
    <rPh sb="24" eb="26">
      <t>キギョウ</t>
    </rPh>
    <rPh sb="28" eb="30">
      <t>ホジョ</t>
    </rPh>
    <rPh sb="30" eb="32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</si>
</sst>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～&quot;m/d"/>
    <numFmt numFmtId="187" formatCode="&quot;(&quot;m/d&quot;～)&quot;"/>
    <numFmt numFmtId="188" formatCode="&quot;(～&quot;m/d&quot;)&quot;"/>
    <numFmt numFmtId="189" formatCode="@&quot;～&quot;"/>
    <numFmt numFmtId="190" formatCode="yyyy/mm/dd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b/>
      <sz val="11"/>
      <color rgb="FF0343F7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811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4" fontId="4" fillId="0" borderId="15" xfId="0" applyNumberFormat="1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29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horizontal="right" vertical="center"/>
    </xf>
    <xf numFmtId="41" fontId="4" fillId="0" borderId="31" xfId="0" applyNumberFormat="1" applyFont="1" applyFill="1" applyBorder="1" applyAlignment="1" applyProtection="1">
      <alignment horizontal="center" vertical="center"/>
    </xf>
    <xf numFmtId="14" fontId="4" fillId="0" borderId="32" xfId="0" applyNumberFormat="1" applyFont="1" applyFill="1" applyBorder="1" applyAlignment="1" applyProtection="1">
      <alignment vertical="center"/>
    </xf>
    <xf numFmtId="0" fontId="4" fillId="0" borderId="33" xfId="0" applyNumberFormat="1" applyFont="1" applyFill="1" applyBorder="1" applyAlignment="1" applyProtection="1">
      <alignment vertical="center"/>
    </xf>
    <xf numFmtId="0" fontId="4" fillId="0" borderId="32" xfId="0" applyNumberFormat="1" applyFont="1" applyFill="1" applyBorder="1" applyAlignment="1" applyProtection="1">
      <alignment vertical="center"/>
    </xf>
    <xf numFmtId="41" fontId="4" fillId="0" borderId="32" xfId="0" applyNumberFormat="1" applyFont="1" applyFill="1" applyBorder="1" applyAlignment="1" applyProtection="1">
      <alignment vertical="center"/>
    </xf>
    <xf numFmtId="41" fontId="4" fillId="0" borderId="16" xfId="0" applyNumberFormat="1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horizontal="right" vertical="center"/>
    </xf>
    <xf numFmtId="0" fontId="4" fillId="0" borderId="52" xfId="0" applyFont="1" applyFill="1" applyBorder="1" applyAlignment="1" applyProtection="1">
      <alignment horizontal="left" vertical="center" indent="1"/>
    </xf>
    <xf numFmtId="0" fontId="4" fillId="0" borderId="54" xfId="0" applyFont="1" applyFill="1" applyBorder="1" applyAlignment="1" applyProtection="1">
      <alignment horizontal="left" vertical="center" indent="1"/>
    </xf>
    <xf numFmtId="0" fontId="4" fillId="0" borderId="58" xfId="0" applyNumberFormat="1" applyFont="1" applyFill="1" applyBorder="1" applyAlignment="1" applyProtection="1">
      <alignment vertical="center"/>
    </xf>
    <xf numFmtId="14" fontId="4" fillId="0" borderId="56" xfId="0" applyNumberFormat="1" applyFont="1" applyFill="1" applyBorder="1" applyAlignment="1" applyProtection="1">
      <alignment vertical="center"/>
    </xf>
    <xf numFmtId="14" fontId="4" fillId="0" borderId="58" xfId="0" applyNumberFormat="1" applyFont="1" applyFill="1" applyBorder="1" applyAlignment="1" applyProtection="1">
      <alignment vertical="center"/>
    </xf>
    <xf numFmtId="0" fontId="4" fillId="3" borderId="60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4" fillId="0" borderId="66" xfId="0" applyFont="1" applyFill="1" applyBorder="1" applyAlignment="1" applyProtection="1">
      <alignment vertical="center"/>
    </xf>
    <xf numFmtId="0" fontId="4" fillId="0" borderId="67" xfId="0" applyFont="1" applyFill="1" applyBorder="1" applyAlignment="1" applyProtection="1">
      <alignment vertical="center"/>
    </xf>
    <xf numFmtId="0" fontId="4" fillId="0" borderId="78" xfId="0" applyFont="1" applyFill="1" applyBorder="1" applyAlignment="1" applyProtection="1">
      <alignment horizontal="right" vertical="center"/>
    </xf>
    <xf numFmtId="41" fontId="4" fillId="0" borderId="79" xfId="0" applyNumberFormat="1" applyFont="1" applyFill="1" applyBorder="1" applyAlignment="1" applyProtection="1">
      <alignment horizontal="right" vertical="center"/>
    </xf>
    <xf numFmtId="0" fontId="4" fillId="0" borderId="80" xfId="0" applyFont="1" applyFill="1" applyBorder="1" applyAlignment="1" applyProtection="1">
      <alignment vertical="center"/>
    </xf>
    <xf numFmtId="41" fontId="4" fillId="0" borderId="7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7" xfId="2" applyFont="1" applyBorder="1" applyAlignment="1" applyProtection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189" fontId="4" fillId="0" borderId="77" xfId="0" applyNumberFormat="1" applyFont="1" applyFill="1" applyBorder="1" applyAlignment="1" applyProtection="1">
      <alignment vertical="center"/>
    </xf>
    <xf numFmtId="0" fontId="4" fillId="0" borderId="206" xfId="0" applyFont="1" applyFill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vertical="center"/>
    </xf>
    <xf numFmtId="0" fontId="4" fillId="0" borderId="208" xfId="0" applyFont="1" applyFill="1" applyBorder="1" applyAlignment="1" applyProtection="1">
      <alignment horizontal="center" vertical="center"/>
    </xf>
    <xf numFmtId="0" fontId="4" fillId="0" borderId="81" xfId="0" applyFont="1" applyFill="1" applyBorder="1" applyAlignment="1" applyProtection="1">
      <alignment vertical="center"/>
    </xf>
    <xf numFmtId="0" fontId="4" fillId="3" borderId="84" xfId="0" applyFont="1" applyFill="1" applyBorder="1" applyAlignment="1" applyProtection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 applyProtection="1">
      <alignment vertical="center"/>
    </xf>
    <xf numFmtId="0" fontId="4" fillId="10" borderId="157" xfId="0" applyNumberFormat="1" applyFont="1" applyFill="1" applyBorder="1" applyAlignment="1" applyProtection="1">
      <alignment horizontal="center" vertical="center"/>
    </xf>
    <xf numFmtId="190" fontId="4" fillId="10" borderId="127" xfId="0" applyNumberFormat="1" applyFont="1" applyFill="1" applyBorder="1" applyAlignment="1" applyProtection="1">
      <alignment horizontal="center" vertical="center"/>
    </xf>
    <xf numFmtId="190" fontId="4" fillId="10" borderId="50" xfId="0" applyNumberFormat="1" applyFont="1" applyFill="1" applyBorder="1" applyAlignment="1" applyProtection="1">
      <alignment horizontal="center" vertical="center"/>
    </xf>
    <xf numFmtId="0" fontId="4" fillId="10" borderId="50" xfId="0" applyFont="1" applyFill="1" applyBorder="1" applyAlignment="1" applyProtection="1">
      <alignment horizontal="center" vertical="center"/>
    </xf>
    <xf numFmtId="181" fontId="4" fillId="10" borderId="10" xfId="0" applyNumberFormat="1" applyFont="1" applyFill="1" applyBorder="1" applyAlignment="1" applyProtection="1">
      <alignment vertical="center"/>
    </xf>
    <xf numFmtId="0" fontId="4" fillId="10" borderId="69" xfId="0" applyFont="1" applyFill="1" applyBorder="1" applyAlignment="1" applyProtection="1">
      <alignment vertical="center"/>
    </xf>
    <xf numFmtId="0" fontId="4" fillId="10" borderId="159" xfId="0" applyFont="1" applyFill="1" applyBorder="1" applyAlignment="1" applyProtection="1">
      <alignment horizontal="center" vertical="center"/>
    </xf>
    <xf numFmtId="190" fontId="4" fillId="10" borderId="177" xfId="0" applyNumberFormat="1" applyFont="1" applyFill="1" applyBorder="1" applyAlignment="1" applyProtection="1">
      <alignment horizontal="center" vertical="center"/>
    </xf>
    <xf numFmtId="190" fontId="4" fillId="10" borderId="70" xfId="0" applyNumberFormat="1" applyFont="1" applyFill="1" applyBorder="1" applyAlignment="1" applyProtection="1">
      <alignment horizontal="center" vertical="center"/>
    </xf>
    <xf numFmtId="0" fontId="4" fillId="10" borderId="70" xfId="0" applyFont="1" applyFill="1" applyBorder="1" applyAlignment="1" applyProtection="1">
      <alignment horizontal="center" vertical="center"/>
    </xf>
    <xf numFmtId="181" fontId="4" fillId="10" borderId="71" xfId="0" applyNumberFormat="1" applyFont="1" applyFill="1" applyBorder="1" applyAlignment="1" applyProtection="1">
      <alignment vertical="center"/>
    </xf>
    <xf numFmtId="0" fontId="4" fillId="10" borderId="14" xfId="0" applyFont="1" applyFill="1" applyBorder="1" applyAlignment="1" applyProtection="1">
      <alignment vertical="center"/>
    </xf>
    <xf numFmtId="0" fontId="4" fillId="10" borderId="28" xfId="0" applyFont="1" applyFill="1" applyBorder="1" applyAlignment="1" applyProtection="1">
      <alignment horizontal="center" vertical="center"/>
    </xf>
    <xf numFmtId="190" fontId="4" fillId="10" borderId="33" xfId="0" applyNumberFormat="1" applyFont="1" applyFill="1" applyBorder="1" applyAlignment="1" applyProtection="1">
      <alignment horizontal="center" vertical="center"/>
    </xf>
    <xf numFmtId="190" fontId="4" fillId="10" borderId="32" xfId="0" applyNumberFormat="1" applyFont="1" applyFill="1" applyBorder="1" applyAlignment="1" applyProtection="1">
      <alignment horizontal="center" vertical="center"/>
    </xf>
    <xf numFmtId="0" fontId="4" fillId="10" borderId="32" xfId="0" applyFont="1" applyFill="1" applyBorder="1" applyAlignment="1" applyProtection="1">
      <alignment horizontal="center" vertical="center"/>
    </xf>
    <xf numFmtId="181" fontId="4" fillId="10" borderId="16" xfId="0" applyNumberFormat="1" applyFont="1" applyFill="1" applyBorder="1" applyAlignment="1" applyProtection="1">
      <alignment vertical="center"/>
    </xf>
    <xf numFmtId="0" fontId="4" fillId="10" borderId="17" xfId="0" applyFont="1" applyFill="1" applyBorder="1" applyAlignment="1" applyProtection="1">
      <alignment vertical="center"/>
    </xf>
    <xf numFmtId="190" fontId="4" fillId="10" borderId="38" xfId="0" applyNumberFormat="1" applyFont="1" applyFill="1" applyBorder="1" applyAlignment="1" applyProtection="1">
      <alignment horizontal="center" vertical="center"/>
    </xf>
    <xf numFmtId="0" fontId="4" fillId="10" borderId="38" xfId="0" applyFont="1" applyFill="1" applyBorder="1" applyAlignment="1" applyProtection="1">
      <alignment horizontal="center" vertical="center"/>
    </xf>
    <xf numFmtId="181" fontId="4" fillId="10" borderId="18" xfId="0" applyNumberFormat="1" applyFont="1" applyFill="1" applyBorder="1" applyAlignment="1" applyProtection="1">
      <alignment vertical="center"/>
    </xf>
    <xf numFmtId="0" fontId="4" fillId="10" borderId="55" xfId="0" applyFont="1" applyFill="1" applyBorder="1" applyProtection="1"/>
    <xf numFmtId="0" fontId="4" fillId="10" borderId="59" xfId="0" applyFont="1" applyFill="1" applyBorder="1" applyAlignment="1" applyProtection="1">
      <alignment horizontal="right" vertical="center"/>
    </xf>
    <xf numFmtId="0" fontId="4" fillId="10" borderId="61" xfId="0" applyFont="1" applyFill="1" applyBorder="1" applyAlignment="1" applyProtection="1">
      <alignment vertical="center"/>
    </xf>
    <xf numFmtId="0" fontId="4" fillId="0" borderId="55" xfId="0" applyFont="1" applyFill="1" applyBorder="1" applyAlignment="1" applyProtection="1">
      <alignment vertical="center"/>
    </xf>
    <xf numFmtId="14" fontId="4" fillId="0" borderId="59" xfId="0" applyNumberFormat="1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14" fontId="4" fillId="0" borderId="20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right" vertical="center"/>
    </xf>
    <xf numFmtId="0" fontId="4" fillId="0" borderId="68" xfId="0" applyFont="1" applyFill="1" applyBorder="1" applyAlignment="1" applyProtection="1">
      <alignment horizontal="left" vertical="center"/>
    </xf>
    <xf numFmtId="0" fontId="4" fillId="0" borderId="53" xfId="0" applyFont="1" applyFill="1" applyBorder="1" applyAlignment="1" applyProtection="1">
      <alignment horizontal="left" vertical="center" indent="1"/>
    </xf>
    <xf numFmtId="0" fontId="4" fillId="0" borderId="57" xfId="0" applyNumberFormat="1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vertical="center"/>
    </xf>
    <xf numFmtId="0" fontId="4" fillId="0" borderId="6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14" fontId="4" fillId="0" borderId="7" xfId="0" applyNumberFormat="1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51" xfId="0" applyFont="1" applyFill="1" applyBorder="1" applyAlignment="1" applyProtection="1">
      <alignment horizontal="left" vertical="center"/>
    </xf>
    <xf numFmtId="181" fontId="4" fillId="0" borderId="10" xfId="0" applyNumberFormat="1" applyFont="1" applyFill="1" applyBorder="1" applyAlignment="1" applyProtection="1">
      <alignment vertical="center"/>
    </xf>
    <xf numFmtId="181" fontId="4" fillId="0" borderId="18" xfId="0" applyNumberFormat="1" applyFont="1" applyFill="1" applyBorder="1" applyAlignment="1" applyProtection="1">
      <alignment vertical="center"/>
    </xf>
    <xf numFmtId="0" fontId="4" fillId="0" borderId="74" xfId="0" applyFont="1" applyFill="1" applyBorder="1" applyAlignment="1" applyProtection="1">
      <alignment horizontal="right" vertical="center"/>
    </xf>
    <xf numFmtId="0" fontId="4" fillId="0" borderId="207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vertical="center"/>
    </xf>
    <xf numFmtId="41" fontId="4" fillId="0" borderId="35" xfId="0" applyNumberFormat="1" applyFont="1" applyFill="1" applyBorder="1" applyAlignment="1" applyProtection="1">
      <alignment horizontal="right" vertical="center"/>
    </xf>
    <xf numFmtId="0" fontId="4" fillId="0" borderId="83" xfId="0" applyFont="1" applyFill="1" applyBorder="1" applyAlignment="1" applyProtection="1">
      <alignment vertical="center"/>
    </xf>
    <xf numFmtId="0" fontId="4" fillId="0" borderId="8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right" vertical="center"/>
    </xf>
    <xf numFmtId="0" fontId="4" fillId="0" borderId="23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horizontal="right" vertical="center"/>
    </xf>
    <xf numFmtId="41" fontId="4" fillId="0" borderId="25" xfId="0" applyNumberFormat="1" applyFont="1" applyFill="1" applyBorder="1" applyAlignment="1" applyProtection="1">
      <alignment horizontal="center" vertical="center"/>
    </xf>
    <xf numFmtId="14" fontId="4" fillId="0" borderId="26" xfId="0" applyNumberFormat="1" applyFont="1" applyFill="1" applyBorder="1" applyAlignment="1" applyProtection="1">
      <alignment vertical="center"/>
    </xf>
    <xf numFmtId="0" fontId="4" fillId="0" borderId="27" xfId="0" applyNumberFormat="1" applyFont="1" applyFill="1" applyBorder="1" applyAlignment="1" applyProtection="1">
      <alignment vertical="center"/>
    </xf>
    <xf numFmtId="0" fontId="4" fillId="0" borderId="26" xfId="0" applyNumberFormat="1" applyFont="1" applyFill="1" applyBorder="1" applyAlignment="1" applyProtection="1">
      <alignment vertical="center"/>
    </xf>
    <xf numFmtId="41" fontId="4" fillId="0" borderId="26" xfId="0" applyNumberFormat="1" applyFont="1" applyFill="1" applyBorder="1" applyAlignment="1" applyProtection="1">
      <alignment vertical="center"/>
    </xf>
    <xf numFmtId="41" fontId="4" fillId="0" borderId="8" xfId="0" applyNumberFormat="1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35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horizontal="right" vertical="center"/>
    </xf>
    <xf numFmtId="41" fontId="4" fillId="0" borderId="37" xfId="0" applyNumberFormat="1" applyFont="1" applyFill="1" applyBorder="1" applyAlignment="1" applyProtection="1">
      <alignment horizontal="center" vertical="center"/>
    </xf>
    <xf numFmtId="14" fontId="4" fillId="0" borderId="38" xfId="0" applyNumberFormat="1" applyFont="1" applyFill="1" applyBorder="1" applyAlignment="1" applyProtection="1">
      <alignment vertical="center"/>
    </xf>
    <xf numFmtId="0" fontId="4" fillId="0" borderId="39" xfId="0" applyNumberFormat="1" applyFont="1" applyFill="1" applyBorder="1" applyAlignment="1" applyProtection="1">
      <alignment vertical="center"/>
    </xf>
    <xf numFmtId="0" fontId="4" fillId="0" borderId="38" xfId="0" applyNumberFormat="1" applyFont="1" applyFill="1" applyBorder="1" applyAlignment="1" applyProtection="1">
      <alignment vertical="center"/>
    </xf>
    <xf numFmtId="41" fontId="4" fillId="0" borderId="38" xfId="0" applyNumberFormat="1" applyFont="1" applyFill="1" applyBorder="1" applyAlignment="1" applyProtection="1">
      <alignment vertical="center"/>
    </xf>
    <xf numFmtId="41" fontId="4" fillId="0" borderId="18" xfId="0" applyNumberFormat="1" applyFont="1" applyFill="1" applyBorder="1" applyAlignment="1" applyProtection="1">
      <alignment vertical="center"/>
    </xf>
    <xf numFmtId="181" fontId="4" fillId="0" borderId="11" xfId="0" applyNumberFormat="1" applyFont="1" applyFill="1" applyBorder="1" applyAlignment="1" applyProtection="1">
      <alignment vertical="center"/>
    </xf>
    <xf numFmtId="12" fontId="4" fillId="0" borderId="157" xfId="0" applyNumberFormat="1" applyFont="1" applyFill="1" applyBorder="1" applyAlignment="1" applyProtection="1">
      <alignment vertical="center"/>
    </xf>
    <xf numFmtId="12" fontId="4" fillId="0" borderId="10" xfId="0" applyNumberFormat="1" applyFont="1" applyFill="1" applyBorder="1" applyAlignment="1" applyProtection="1">
      <alignment vertical="center"/>
    </xf>
    <xf numFmtId="12" fontId="4" fillId="0" borderId="34" xfId="0" applyNumberFormat="1" applyFont="1" applyFill="1" applyBorder="1" applyAlignment="1" applyProtection="1">
      <alignment vertical="center"/>
    </xf>
    <xf numFmtId="12" fontId="4" fillId="0" borderId="18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12" fontId="4" fillId="0" borderId="28" xfId="0" applyNumberFormat="1" applyFont="1" applyFill="1" applyBorder="1" applyAlignment="1" applyProtection="1">
      <alignment vertical="center"/>
    </xf>
    <xf numFmtId="12" fontId="4" fillId="0" borderId="16" xfId="0" applyNumberFormat="1" applyFont="1" applyFill="1" applyBorder="1" applyAlignment="1" applyProtection="1">
      <alignment vertical="center"/>
    </xf>
    <xf numFmtId="181" fontId="4" fillId="0" borderId="15" xfId="0" applyNumberFormat="1" applyFont="1" applyFill="1" applyBorder="1" applyAlignment="1" applyProtection="1">
      <alignment vertic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7" xfId="0" applyFont="1" applyBorder="1" applyProtection="1"/>
    <xf numFmtId="0" fontId="4" fillId="0" borderId="20" xfId="0" applyFont="1" applyBorder="1" applyProtection="1"/>
    <xf numFmtId="41" fontId="4" fillId="0" borderId="9" xfId="0" applyNumberFormat="1" applyFont="1" applyBorder="1" applyProtection="1"/>
    <xf numFmtId="41" fontId="4" fillId="0" borderId="14" xfId="0" applyNumberFormat="1" applyFont="1" applyBorder="1" applyProtection="1"/>
    <xf numFmtId="41" fontId="4" fillId="0" borderId="17" xfId="0" applyNumberFormat="1" applyFont="1" applyBorder="1" applyProtection="1"/>
    <xf numFmtId="0" fontId="4" fillId="0" borderId="8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41" fontId="4" fillId="0" borderId="68" xfId="0" applyNumberFormat="1" applyFont="1" applyBorder="1" applyAlignment="1" applyProtection="1">
      <alignment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158" xfId="0" applyFont="1" applyFill="1" applyBorder="1" applyAlignment="1" applyProtection="1">
      <alignment vertical="center"/>
    </xf>
    <xf numFmtId="0" fontId="4" fillId="0" borderId="69" xfId="0" applyFont="1" applyFill="1" applyBorder="1" applyAlignment="1" applyProtection="1">
      <alignment vertical="center"/>
    </xf>
    <xf numFmtId="0" fontId="10" fillId="11" borderId="1" xfId="0" applyFont="1" applyFill="1" applyBorder="1" applyAlignment="1" applyProtection="1">
      <alignment horizontal="center" vertical="center"/>
    </xf>
    <xf numFmtId="0" fontId="10" fillId="11" borderId="2" xfId="0" applyFont="1" applyFill="1" applyBorder="1" applyAlignment="1" applyProtection="1">
      <alignment horizontal="center" vertical="center"/>
    </xf>
    <xf numFmtId="0" fontId="24" fillId="11" borderId="144" xfId="0" applyFont="1" applyFill="1" applyBorder="1" applyAlignment="1" applyProtection="1">
      <alignment vertical="center"/>
    </xf>
    <xf numFmtId="0" fontId="24" fillId="11" borderId="134" xfId="0" applyFont="1" applyFill="1" applyBorder="1" applyAlignment="1" applyProtection="1">
      <alignment vertical="center"/>
    </xf>
    <xf numFmtId="0" fontId="24" fillId="11" borderId="43" xfId="0" applyFont="1" applyFill="1" applyBorder="1" applyAlignment="1" applyProtection="1">
      <alignment vertical="center"/>
    </xf>
    <xf numFmtId="0" fontId="24" fillId="11" borderId="82" xfId="0" applyFont="1" applyFill="1" applyBorder="1" applyAlignment="1" applyProtection="1">
      <alignment vertical="center"/>
    </xf>
    <xf numFmtId="0" fontId="10" fillId="11" borderId="155" xfId="0" applyFont="1" applyFill="1" applyBorder="1" applyAlignment="1" applyProtection="1">
      <alignment horizontal="center" vertical="center"/>
    </xf>
    <xf numFmtId="0" fontId="10" fillId="11" borderId="5" xfId="0" applyFont="1" applyFill="1" applyBorder="1" applyAlignment="1" applyProtection="1">
      <alignment horizontal="center" vertical="center"/>
    </xf>
    <xf numFmtId="0" fontId="10" fillId="11" borderId="73" xfId="0" applyFont="1" applyFill="1" applyBorder="1" applyAlignment="1" applyProtection="1">
      <alignment horizontal="center" vertical="center"/>
    </xf>
    <xf numFmtId="0" fontId="10" fillId="11" borderId="4" xfId="0" applyFont="1" applyFill="1" applyBorder="1" applyAlignment="1" applyProtection="1">
      <alignment horizontal="center" vertical="center"/>
    </xf>
    <xf numFmtId="0" fontId="10" fillId="11" borderId="3" xfId="0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6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24" fillId="11" borderId="49" xfId="0" applyFont="1" applyFill="1" applyBorder="1" applyAlignment="1" applyProtection="1">
      <alignment vertical="center"/>
    </xf>
    <xf numFmtId="41" fontId="4" fillId="0" borderId="190" xfId="0" applyNumberFormat="1" applyFont="1" applyFill="1" applyBorder="1" applyAlignment="1" applyProtection="1">
      <alignment vertical="center"/>
    </xf>
    <xf numFmtId="41" fontId="4" fillId="0" borderId="104" xfId="0" applyNumberFormat="1" applyFont="1" applyFill="1" applyBorder="1" applyAlignment="1" applyProtection="1">
      <alignment vertical="center"/>
    </xf>
    <xf numFmtId="179" fontId="4" fillId="2" borderId="0" xfId="0" applyNumberFormat="1" applyFont="1" applyFill="1" applyBorder="1" applyAlignment="1" applyProtection="1">
      <alignment vertical="center"/>
      <protection locked="0"/>
    </xf>
    <xf numFmtId="0" fontId="24" fillId="14" borderId="4" xfId="0" applyFont="1" applyFill="1" applyBorder="1" applyAlignment="1" applyProtection="1">
      <alignment horizontal="center" vertical="center"/>
    </xf>
    <xf numFmtId="0" fontId="24" fillId="14" borderId="234" xfId="0" applyFont="1" applyFill="1" applyBorder="1" applyAlignment="1" applyProtection="1">
      <alignment horizontal="center" vertical="center"/>
    </xf>
    <xf numFmtId="0" fontId="24" fillId="14" borderId="3" xfId="0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34" xfId="0" applyNumberFormat="1" applyFont="1" applyFill="1" applyBorder="1" applyAlignment="1" applyProtection="1">
      <alignment horizontal="right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</xf>
    <xf numFmtId="0" fontId="4" fillId="15" borderId="134" xfId="0" applyFont="1" applyFill="1" applyBorder="1" applyAlignment="1" applyProtection="1">
      <alignment horizontal="left" vertical="center" indent="1"/>
    </xf>
    <xf numFmtId="14" fontId="4" fillId="15" borderId="0" xfId="0" applyNumberFormat="1" applyFont="1" applyFill="1" applyBorder="1" applyAlignment="1" applyProtection="1">
      <alignment vertical="center"/>
    </xf>
    <xf numFmtId="0" fontId="4" fillId="15" borderId="48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10" fillId="11" borderId="72" xfId="0" applyFont="1" applyFill="1" applyBorder="1" applyAlignment="1" applyProtection="1">
      <alignment horizontal="center" vertical="center"/>
    </xf>
    <xf numFmtId="0" fontId="10" fillId="11" borderId="156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/>
    <xf numFmtId="0" fontId="12" fillId="0" borderId="0" xfId="0" applyFont="1" applyBorder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/>
    </xf>
    <xf numFmtId="0" fontId="16" fillId="0" borderId="135" xfId="0" applyFont="1" applyFill="1" applyBorder="1" applyAlignment="1" applyProtection="1">
      <alignment vertical="center"/>
    </xf>
    <xf numFmtId="0" fontId="16" fillId="13" borderId="31" xfId="0" applyFont="1" applyFill="1" applyBorder="1" applyAlignment="1" applyProtection="1">
      <alignment horizontal="centerContinuous" vertical="center"/>
    </xf>
    <xf numFmtId="0" fontId="16" fillId="13" borderId="33" xfId="0" applyFont="1" applyFill="1" applyBorder="1" applyAlignment="1" applyProtection="1">
      <alignment horizontal="centerContinuous" vertical="center"/>
    </xf>
    <xf numFmtId="0" fontId="16" fillId="13" borderId="15" xfId="0" applyFont="1" applyFill="1" applyBorder="1" applyAlignment="1" applyProtection="1">
      <alignment horizontal="centerContinuous" vertical="center"/>
    </xf>
    <xf numFmtId="0" fontId="16" fillId="13" borderId="32" xfId="0" applyFont="1" applyFill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vertical="distributed"/>
    </xf>
    <xf numFmtId="0" fontId="0" fillId="0" borderId="60" xfId="0" applyFont="1" applyBorder="1" applyAlignment="1" applyProtection="1">
      <alignment vertical="center"/>
    </xf>
    <xf numFmtId="0" fontId="0" fillId="0" borderId="223" xfId="0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179" fontId="0" fillId="5" borderId="224" xfId="1" applyNumberFormat="1" applyFont="1" applyFill="1" applyBorder="1" applyAlignment="1" applyProtection="1">
      <alignment vertical="center"/>
    </xf>
    <xf numFmtId="0" fontId="0" fillId="0" borderId="60" xfId="0" applyFont="1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223" xfId="0" applyFont="1" applyBorder="1" applyAlignment="1" applyProtection="1"/>
    <xf numFmtId="0" fontId="0" fillId="0" borderId="12" xfId="0" applyFont="1" applyBorder="1" applyAlignment="1" applyProtection="1">
      <alignment vertical="center" textRotation="255"/>
    </xf>
    <xf numFmtId="0" fontId="0" fillId="0" borderId="66" xfId="0" applyFont="1" applyBorder="1" applyAlignment="1" applyProtection="1">
      <alignment vertical="center"/>
    </xf>
    <xf numFmtId="0" fontId="0" fillId="0" borderId="221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179" fontId="0" fillId="5" borderId="222" xfId="1" applyNumberFormat="1" applyFont="1" applyFill="1" applyBorder="1" applyAlignment="1" applyProtection="1">
      <alignment vertical="center"/>
    </xf>
    <xf numFmtId="0" fontId="0" fillId="0" borderId="221" xfId="0" applyFont="1" applyBorder="1" applyAlignment="1" applyProtection="1"/>
    <xf numFmtId="179" fontId="0" fillId="5" borderId="84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Font="1" applyFill="1" applyBorder="1" applyAlignment="1" applyProtection="1">
      <alignment vertical="center"/>
    </xf>
    <xf numFmtId="179" fontId="0" fillId="0" borderId="0" xfId="0" applyNumberFormat="1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0" fillId="0" borderId="32" xfId="0" applyFont="1" applyBorder="1" applyAlignment="1" applyProtection="1">
      <alignment vertical="distributed"/>
    </xf>
    <xf numFmtId="0" fontId="0" fillId="0" borderId="32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1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33" xfId="0" applyFont="1" applyBorder="1" applyAlignment="1" applyProtection="1"/>
    <xf numFmtId="0" fontId="4" fillId="0" borderId="0" xfId="0" applyFont="1" applyBorder="1" applyAlignment="1" applyProtection="1">
      <alignment horizontal="left" vertical="top"/>
    </xf>
    <xf numFmtId="0" fontId="0" fillId="0" borderId="0" xfId="0" applyFont="1" applyBorder="1" applyProtection="1"/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indent="1"/>
    </xf>
    <xf numFmtId="0" fontId="0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Fill="1" applyBorder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45" xfId="0" applyFont="1" applyBorder="1" applyAlignment="1" applyProtection="1">
      <alignment vertical="center"/>
    </xf>
    <xf numFmtId="0" fontId="0" fillId="0" borderId="177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0" fillId="0" borderId="12" xfId="0" applyFont="1" applyBorder="1" applyAlignment="1" applyProtection="1">
      <alignment vertical="center"/>
    </xf>
    <xf numFmtId="0" fontId="0" fillId="0" borderId="127" xfId="0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indent="2"/>
    </xf>
    <xf numFmtId="0" fontId="12" fillId="2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5" fillId="4" borderId="82" xfId="0" applyFont="1" applyFill="1" applyBorder="1" applyAlignment="1" applyProtection="1">
      <alignment horizontal="right" vertical="center" wrapText="1"/>
    </xf>
    <xf numFmtId="12" fontId="15" fillId="4" borderId="174" xfId="0" applyNumberFormat="1" applyFont="1" applyFill="1" applyBorder="1" applyAlignment="1" applyProtection="1">
      <alignment horizontal="left" vertical="center"/>
    </xf>
    <xf numFmtId="0" fontId="15" fillId="4" borderId="84" xfId="0" applyFont="1" applyFill="1" applyBorder="1" applyAlignment="1" applyProtection="1">
      <alignment horizontal="right" vertical="center"/>
    </xf>
    <xf numFmtId="12" fontId="15" fillId="4" borderId="85" xfId="0" applyNumberFormat="1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0" fillId="0" borderId="47" xfId="0" applyFont="1" applyBorder="1" applyAlignment="1" applyProtection="1">
      <alignment vertical="center"/>
    </xf>
    <xf numFmtId="0" fontId="4" fillId="0" borderId="213" xfId="0" applyFont="1" applyBorder="1" applyAlignment="1" applyProtection="1">
      <alignment vertical="center"/>
    </xf>
    <xf numFmtId="179" fontId="0" fillId="0" borderId="212" xfId="1" applyNumberFormat="1" applyFont="1" applyBorder="1" applyAlignment="1" applyProtection="1">
      <alignment vertical="center"/>
    </xf>
    <xf numFmtId="179" fontId="0" fillId="0" borderId="212" xfId="0" applyNumberFormat="1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left" vertical="center"/>
    </xf>
    <xf numFmtId="0" fontId="0" fillId="0" borderId="15" xfId="0" applyNumberFormat="1" applyFont="1" applyBorder="1" applyAlignment="1" applyProtection="1">
      <alignment vertical="center"/>
    </xf>
    <xf numFmtId="0" fontId="4" fillId="0" borderId="15" xfId="0" applyNumberFormat="1" applyFont="1" applyBorder="1" applyAlignment="1" applyProtection="1">
      <alignment vertical="center" wrapText="1"/>
    </xf>
    <xf numFmtId="179" fontId="0" fillId="0" borderId="15" xfId="1" applyNumberFormat="1" applyFont="1" applyBorder="1" applyAlignment="1" applyProtection="1">
      <alignment vertical="center"/>
    </xf>
    <xf numFmtId="179" fontId="0" fillId="0" borderId="15" xfId="0" applyNumberFormat="1" applyFont="1" applyBorder="1" applyAlignment="1" applyProtection="1">
      <alignment vertical="center"/>
    </xf>
    <xf numFmtId="179" fontId="0" fillId="0" borderId="15" xfId="0" applyNumberFormat="1" applyFont="1" applyFill="1" applyBorder="1" applyAlignment="1" applyProtection="1">
      <alignment vertical="center"/>
    </xf>
    <xf numFmtId="0" fontId="0" fillId="0" borderId="114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left" vertical="center"/>
    </xf>
    <xf numFmtId="0" fontId="4" fillId="0" borderId="169" xfId="0" applyFont="1" applyBorder="1" applyAlignment="1" applyProtection="1">
      <alignment vertical="center" wrapText="1"/>
    </xf>
    <xf numFmtId="179" fontId="0" fillId="0" borderId="33" xfId="1" applyNumberFormat="1" applyFont="1" applyBorder="1" applyAlignment="1" applyProtection="1">
      <alignment vertical="center"/>
    </xf>
    <xf numFmtId="179" fontId="0" fillId="0" borderId="32" xfId="0" applyNumberFormat="1" applyFont="1" applyBorder="1" applyAlignment="1" applyProtection="1">
      <alignment horizontal="right" vertical="center"/>
    </xf>
    <xf numFmtId="179" fontId="0" fillId="0" borderId="19" xfId="0" applyNumberFormat="1" applyFont="1" applyFill="1" applyBorder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0" fontId="4" fillId="0" borderId="256" xfId="0" applyFont="1" applyBorder="1" applyAlignment="1" applyProtection="1">
      <alignment vertical="center" wrapText="1"/>
    </xf>
    <xf numFmtId="179" fontId="0" fillId="0" borderId="177" xfId="1" applyNumberFormat="1" applyFont="1" applyBorder="1" applyAlignment="1" applyProtection="1">
      <alignment vertical="center"/>
    </xf>
    <xf numFmtId="179" fontId="0" fillId="0" borderId="70" xfId="0" applyNumberFormat="1" applyFont="1" applyBorder="1" applyAlignment="1" applyProtection="1">
      <alignment vertical="center"/>
    </xf>
    <xf numFmtId="179" fontId="0" fillId="0" borderId="46" xfId="0" applyNumberFormat="1" applyFont="1" applyFill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horizontal="center" vertical="center"/>
    </xf>
    <xf numFmtId="3" fontId="0" fillId="0" borderId="84" xfId="0" applyNumberFormat="1" applyFont="1" applyBorder="1" applyAlignment="1" applyProtection="1">
      <alignment horizontal="centerContinuous" vertical="center"/>
    </xf>
    <xf numFmtId="0" fontId="0" fillId="12" borderId="45" xfId="0" applyFont="1" applyFill="1" applyBorder="1" applyAlignment="1" applyProtection="1">
      <alignment horizontal="left" vertical="center"/>
    </xf>
    <xf numFmtId="0" fontId="0" fillId="12" borderId="164" xfId="0" applyFont="1" applyFill="1" applyBorder="1" applyAlignment="1" applyProtection="1">
      <alignment horizontal="left" vertical="center"/>
    </xf>
    <xf numFmtId="0" fontId="4" fillId="12" borderId="267" xfId="0" applyFont="1" applyFill="1" applyBorder="1" applyAlignment="1" applyProtection="1">
      <alignment vertical="center" wrapText="1"/>
    </xf>
    <xf numFmtId="179" fontId="0" fillId="0" borderId="258" xfId="1" applyNumberFormat="1" applyFont="1" applyBorder="1" applyAlignment="1" applyProtection="1">
      <alignment vertical="center"/>
    </xf>
    <xf numFmtId="179" fontId="0" fillId="0" borderId="257" xfId="0" applyNumberFormat="1" applyFont="1" applyBorder="1" applyAlignment="1" applyProtection="1">
      <alignment vertical="center"/>
    </xf>
    <xf numFmtId="179" fontId="0" fillId="0" borderId="259" xfId="0" applyNumberFormat="1" applyFont="1" applyFill="1" applyBorder="1" applyAlignment="1" applyProtection="1">
      <alignment vertical="center"/>
    </xf>
    <xf numFmtId="0" fontId="25" fillId="0" borderId="144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vertical="center"/>
    </xf>
    <xf numFmtId="38" fontId="26" fillId="7" borderId="141" xfId="0" applyNumberFormat="1" applyFont="1" applyFill="1" applyBorder="1" applyAlignment="1" applyProtection="1">
      <alignment horizontal="left" vertical="center"/>
    </xf>
    <xf numFmtId="38" fontId="26" fillId="7" borderId="142" xfId="0" applyNumberFormat="1" applyFont="1" applyFill="1" applyBorder="1" applyAlignment="1" applyProtection="1">
      <alignment horizontal="left" vertical="center"/>
    </xf>
    <xf numFmtId="38" fontId="25" fillId="7" borderId="143" xfId="0" applyNumberFormat="1" applyFont="1" applyFill="1" applyBorder="1" applyAlignment="1" applyProtection="1">
      <alignment horizontal="center" vertical="center"/>
    </xf>
    <xf numFmtId="38" fontId="25" fillId="0" borderId="0" xfId="0" applyNumberFormat="1" applyFont="1" applyFill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vertical="center"/>
    </xf>
    <xf numFmtId="0" fontId="0" fillId="12" borderId="12" xfId="0" applyFont="1" applyFill="1" applyBorder="1" applyAlignment="1" applyProtection="1">
      <alignment horizontal="left" vertical="center"/>
    </xf>
    <xf numFmtId="0" fontId="0" fillId="12" borderId="11" xfId="0" applyFont="1" applyFill="1" applyBorder="1" applyAlignment="1" applyProtection="1">
      <alignment horizontal="left" vertical="center"/>
    </xf>
    <xf numFmtId="0" fontId="4" fillId="12" borderId="268" xfId="0" applyFont="1" applyFill="1" applyBorder="1" applyAlignment="1" applyProtection="1">
      <alignment vertical="center" wrapText="1"/>
    </xf>
    <xf numFmtId="179" fontId="0" fillId="0" borderId="263" xfId="1" applyNumberFormat="1" applyFont="1" applyBorder="1" applyAlignment="1" applyProtection="1">
      <alignment vertical="center"/>
    </xf>
    <xf numFmtId="179" fontId="0" fillId="0" borderId="262" xfId="0" applyNumberFormat="1" applyFont="1" applyBorder="1" applyAlignment="1" applyProtection="1">
      <alignment vertical="center"/>
    </xf>
    <xf numFmtId="179" fontId="0" fillId="0" borderId="264" xfId="0" applyNumberFormat="1" applyFont="1" applyFill="1" applyBorder="1" applyAlignment="1" applyProtection="1">
      <alignment vertical="center"/>
    </xf>
    <xf numFmtId="0" fontId="0" fillId="0" borderId="134" xfId="0" applyFont="1" applyBorder="1" applyAlignment="1" applyProtection="1">
      <alignment horizontal="center" vertical="center"/>
    </xf>
    <xf numFmtId="0" fontId="25" fillId="7" borderId="43" xfId="0" applyFont="1" applyFill="1" applyBorder="1" applyAlignment="1" applyProtection="1">
      <alignment vertical="center"/>
    </xf>
    <xf numFmtId="0" fontId="25" fillId="7" borderId="0" xfId="0" applyFont="1" applyFill="1" applyBorder="1" applyAlignment="1" applyProtection="1">
      <alignment vertical="center"/>
    </xf>
    <xf numFmtId="0" fontId="25" fillId="7" borderId="48" xfId="0" applyFont="1" applyFill="1" applyBorder="1" applyAlignment="1" applyProtection="1">
      <alignment vertical="center"/>
    </xf>
    <xf numFmtId="38" fontId="25" fillId="0" borderId="0" xfId="1" applyFont="1" applyFill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0" fillId="0" borderId="47" xfId="0" applyFont="1" applyBorder="1" applyAlignment="1" applyProtection="1">
      <alignment horizontal="left" vertical="center"/>
    </xf>
    <xf numFmtId="0" fontId="4" fillId="0" borderId="267" xfId="0" applyFont="1" applyBorder="1" applyAlignment="1" applyProtection="1">
      <alignment vertical="center" wrapText="1"/>
    </xf>
    <xf numFmtId="3" fontId="25" fillId="0" borderId="134" xfId="0" applyNumberFormat="1" applyFont="1" applyBorder="1" applyAlignment="1" applyProtection="1">
      <alignment horizontal="center" vertical="center"/>
    </xf>
    <xf numFmtId="0" fontId="25" fillId="7" borderId="225" xfId="0" applyFont="1" applyFill="1" applyBorder="1" applyAlignment="1" applyProtection="1">
      <alignment vertical="center"/>
    </xf>
    <xf numFmtId="0" fontId="25" fillId="7" borderId="77" xfId="0" applyFont="1" applyFill="1" applyBorder="1" applyAlignment="1" applyProtection="1">
      <alignment vertical="center"/>
    </xf>
    <xf numFmtId="179" fontId="25" fillId="7" borderId="48" xfId="1" applyNumberFormat="1" applyFont="1" applyFill="1" applyBorder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0" fillId="0" borderId="12" xfId="0" applyFont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horizontal="right" vertical="center"/>
    </xf>
    <xf numFmtId="0" fontId="4" fillId="0" borderId="268" xfId="0" applyFont="1" applyBorder="1" applyAlignment="1" applyProtection="1">
      <alignment vertical="center" wrapText="1"/>
    </xf>
    <xf numFmtId="0" fontId="26" fillId="8" borderId="43" xfId="0" applyFont="1" applyFill="1" applyBorder="1" applyAlignment="1" applyProtection="1">
      <alignment vertical="center"/>
    </xf>
    <xf numFmtId="0" fontId="26" fillId="8" borderId="0" xfId="0" applyFont="1" applyFill="1" applyBorder="1" applyAlignment="1" applyProtection="1">
      <alignment vertical="center"/>
    </xf>
    <xf numFmtId="179" fontId="25" fillId="8" borderId="214" xfId="1" applyNumberFormat="1" applyFont="1" applyFill="1" applyBorder="1" applyAlignment="1" applyProtection="1">
      <alignment vertical="center"/>
    </xf>
    <xf numFmtId="0" fontId="25" fillId="0" borderId="141" xfId="0" applyFont="1" applyBorder="1" applyAlignment="1" applyProtection="1">
      <alignment vertical="center"/>
    </xf>
    <xf numFmtId="0" fontId="25" fillId="0" borderId="143" xfId="0" applyFont="1" applyBorder="1" applyAlignment="1" applyProtection="1">
      <alignment vertical="center"/>
    </xf>
    <xf numFmtId="179" fontId="0" fillId="0" borderId="127" xfId="1" applyNumberFormat="1" applyFont="1" applyBorder="1" applyAlignment="1" applyProtection="1">
      <alignment vertical="center"/>
    </xf>
    <xf numFmtId="179" fontId="0" fillId="0" borderId="50" xfId="0" applyNumberFormat="1" applyFont="1" applyBorder="1" applyAlignment="1" applyProtection="1">
      <alignment vertical="center"/>
    </xf>
    <xf numFmtId="179" fontId="0" fillId="0" borderId="13" xfId="0" applyNumberFormat="1" applyFont="1" applyFill="1" applyBorder="1" applyAlignment="1" applyProtection="1">
      <alignment vertical="center"/>
    </xf>
    <xf numFmtId="3" fontId="0" fillId="0" borderId="134" xfId="0" applyNumberFormat="1" applyFont="1" applyBorder="1" applyAlignment="1" applyProtection="1">
      <alignment horizontal="center" vertical="center"/>
    </xf>
    <xf numFmtId="0" fontId="25" fillId="8" borderId="43" xfId="0" applyFont="1" applyFill="1" applyBorder="1" applyAlignment="1" applyProtection="1">
      <alignment vertical="center"/>
    </xf>
    <xf numFmtId="0" fontId="25" fillId="8" borderId="0" xfId="0" applyFont="1" applyFill="1" applyBorder="1" applyAlignment="1" applyProtection="1">
      <alignment vertical="center"/>
    </xf>
    <xf numFmtId="179" fontId="25" fillId="8" borderId="48" xfId="1" applyNumberFormat="1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3" xfId="0" applyFont="1" applyBorder="1" applyAlignment="1" applyProtection="1">
      <alignment vertical="center"/>
    </xf>
    <xf numFmtId="179" fontId="25" fillId="0" borderId="48" xfId="1" applyNumberFormat="1" applyFont="1" applyBorder="1" applyAlignment="1" applyProtection="1">
      <alignment horizontal="right" vertical="center"/>
    </xf>
    <xf numFmtId="0" fontId="0" fillId="0" borderId="164" xfId="0" applyFont="1" applyBorder="1" applyAlignment="1" applyProtection="1">
      <alignment vertical="center"/>
    </xf>
    <xf numFmtId="0" fontId="0" fillId="0" borderId="43" xfId="0" applyFont="1" applyBorder="1" applyAlignment="1" applyProtection="1">
      <alignment vertical="center"/>
    </xf>
    <xf numFmtId="179" fontId="0" fillId="0" borderId="48" xfId="0" applyNumberFormat="1" applyFont="1" applyBorder="1" applyAlignment="1" applyProtection="1">
      <alignment vertical="center"/>
    </xf>
    <xf numFmtId="0" fontId="0" fillId="0" borderId="158" xfId="0" applyFont="1" applyFill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Font="1" applyBorder="1" applyAlignment="1" applyProtection="1">
      <alignment horizontal="right" vertical="center" indent="1"/>
    </xf>
    <xf numFmtId="179" fontId="0" fillId="0" borderId="68" xfId="0" applyNumberFormat="1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38" fontId="25" fillId="0" borderId="0" xfId="0" applyNumberFormat="1" applyFont="1" applyBorder="1" applyAlignment="1" applyProtection="1">
      <alignment horizontal="left" vertical="center" indent="1"/>
    </xf>
    <xf numFmtId="179" fontId="25" fillId="0" borderId="48" xfId="1" applyNumberFormat="1" applyFont="1" applyBorder="1" applyAlignment="1" applyProtection="1">
      <alignment vertical="center"/>
    </xf>
    <xf numFmtId="177" fontId="3" fillId="0" borderId="171" xfId="0" applyNumberFormat="1" applyFont="1" applyFill="1" applyBorder="1" applyAlignment="1" applyProtection="1">
      <alignment vertical="center"/>
    </xf>
    <xf numFmtId="3" fontId="25" fillId="6" borderId="134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 wrapText="1"/>
    </xf>
    <xf numFmtId="0" fontId="0" fillId="0" borderId="0" xfId="0" applyFont="1" applyProtection="1"/>
    <xf numFmtId="0" fontId="4" fillId="0" borderId="142" xfId="0" applyFont="1" applyFill="1" applyBorder="1" applyAlignment="1" applyProtection="1"/>
    <xf numFmtId="0" fontId="3" fillId="0" borderId="142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right" vertical="center"/>
    </xf>
    <xf numFmtId="3" fontId="0" fillId="6" borderId="134" xfId="0" applyNumberFormat="1" applyFont="1" applyFill="1" applyBorder="1" applyAlignment="1" applyProtection="1">
      <alignment horizontal="center" vertical="center"/>
    </xf>
    <xf numFmtId="38" fontId="25" fillId="0" borderId="0" xfId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vertical="center"/>
    </xf>
    <xf numFmtId="0" fontId="0" fillId="6" borderId="139" xfId="0" applyFont="1" applyFill="1" applyBorder="1" applyAlignment="1" applyProtection="1">
      <alignment horizontal="center" vertical="center"/>
    </xf>
    <xf numFmtId="179" fontId="25" fillId="8" borderId="13" xfId="1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Continuous" vertical="center"/>
    </xf>
    <xf numFmtId="0" fontId="25" fillId="0" borderId="220" xfId="0" applyFont="1" applyBorder="1" applyAlignment="1" applyProtection="1">
      <alignment vertical="center"/>
    </xf>
    <xf numFmtId="0" fontId="25" fillId="0" borderId="13" xfId="1" applyNumberFormat="1" applyFont="1" applyBorder="1" applyAlignment="1" applyProtection="1">
      <alignment horizontal="right" vertical="center"/>
    </xf>
    <xf numFmtId="3" fontId="25" fillId="9" borderId="144" xfId="0" applyNumberFormat="1" applyFont="1" applyFill="1" applyBorder="1" applyAlignment="1" applyProtection="1">
      <alignment horizontal="center" vertical="center"/>
    </xf>
    <xf numFmtId="0" fontId="25" fillId="0" borderId="158" xfId="0" applyFont="1" applyFill="1" applyBorder="1" applyAlignment="1" applyProtection="1">
      <alignment vertical="center"/>
    </xf>
    <xf numFmtId="0" fontId="25" fillId="0" borderId="20" xfId="0" applyFont="1" applyFill="1" applyBorder="1" applyAlignment="1" applyProtection="1">
      <alignment vertical="center"/>
    </xf>
    <xf numFmtId="179" fontId="25" fillId="0" borderId="68" xfId="0" applyNumberFormat="1" applyFont="1" applyFill="1" applyBorder="1" applyAlignment="1" applyProtection="1">
      <alignment vertical="center"/>
    </xf>
    <xf numFmtId="0" fontId="0" fillId="0" borderId="82" xfId="0" applyFont="1" applyBorder="1" applyAlignment="1" applyProtection="1">
      <alignment vertical="center"/>
    </xf>
    <xf numFmtId="179" fontId="0" fillId="0" borderId="85" xfId="1" applyNumberFormat="1" applyFont="1" applyBorder="1" applyAlignment="1" applyProtection="1">
      <alignment vertical="center"/>
    </xf>
    <xf numFmtId="0" fontId="0" fillId="0" borderId="0" xfId="1" applyNumberFormat="1" applyFont="1" applyFill="1" applyBorder="1" applyAlignment="1" applyProtection="1">
      <alignment vertical="center"/>
    </xf>
    <xf numFmtId="3" fontId="25" fillId="9" borderId="134" xfId="0" applyNumberFormat="1" applyFont="1" applyFill="1" applyBorder="1" applyAlignment="1" applyProtection="1">
      <alignment horizontal="center" vertical="center"/>
    </xf>
    <xf numFmtId="179" fontId="0" fillId="0" borderId="0" xfId="0" applyNumberFormat="1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Continuous" vertical="center"/>
    </xf>
    <xf numFmtId="0" fontId="15" fillId="4" borderId="190" xfId="0" applyFont="1" applyFill="1" applyBorder="1" applyAlignment="1" applyProtection="1">
      <alignment horizontal="center" vertical="center"/>
    </xf>
    <xf numFmtId="177" fontId="16" fillId="4" borderId="104" xfId="0" applyNumberFormat="1" applyFont="1" applyFill="1" applyBorder="1" applyAlignment="1" applyProtection="1">
      <alignment horizontal="center" vertical="center"/>
    </xf>
    <xf numFmtId="3" fontId="25" fillId="9" borderId="9" xfId="0" applyNumberFormat="1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vertical="center"/>
    </xf>
    <xf numFmtId="179" fontId="0" fillId="5" borderId="10" xfId="0" applyNumberFormat="1" applyFont="1" applyFill="1" applyBorder="1" applyAlignment="1" applyProtection="1">
      <alignment vertical="center"/>
    </xf>
    <xf numFmtId="0" fontId="25" fillId="0" borderId="134" xfId="0" applyFont="1" applyBorder="1" applyAlignment="1" applyProtection="1">
      <alignment horizontal="center"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Font="1" applyBorder="1" applyAlignment="1" applyProtection="1">
      <alignment vertical="center"/>
    </xf>
    <xf numFmtId="179" fontId="0" fillId="5" borderId="16" xfId="0" applyNumberFormat="1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horizontal="centerContinuous" vertical="center"/>
    </xf>
    <xf numFmtId="0" fontId="14" fillId="0" borderId="172" xfId="0" applyFont="1" applyBorder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38" fontId="14" fillId="0" borderId="175" xfId="1" applyFont="1" applyBorder="1" applyAlignment="1" applyProtection="1">
      <alignment vertical="center"/>
    </xf>
    <xf numFmtId="178" fontId="14" fillId="0" borderId="175" xfId="0" applyNumberFormat="1" applyFont="1" applyBorder="1" applyAlignment="1" applyProtection="1">
      <alignment vertical="center"/>
    </xf>
    <xf numFmtId="179" fontId="14" fillId="5" borderId="168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Continuous" vertical="center"/>
    </xf>
    <xf numFmtId="3" fontId="25" fillId="0" borderId="0" xfId="0" applyNumberFormat="1" applyFont="1" applyFill="1" applyBorder="1" applyAlignment="1" applyProtection="1">
      <alignment horizontal="centerContinuous" vertical="center" wrapText="1"/>
    </xf>
    <xf numFmtId="3" fontId="25" fillId="0" borderId="0" xfId="0" applyNumberFormat="1" applyFont="1" applyAlignment="1" applyProtection="1">
      <alignment horizontal="center" vertical="center"/>
    </xf>
    <xf numFmtId="179" fontId="3" fillId="5" borderId="171" xfId="1" applyNumberFormat="1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3" fontId="25" fillId="6" borderId="144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vertical="center"/>
    </xf>
    <xf numFmtId="0" fontId="0" fillId="0" borderId="139" xfId="0" applyFont="1" applyBorder="1" applyAlignment="1" applyProtection="1">
      <alignment horizontal="center" vertical="center"/>
    </xf>
    <xf numFmtId="3" fontId="25" fillId="9" borderId="13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Border="1" applyAlignment="1" applyProtection="1">
      <alignment vertical="center" wrapText="1"/>
    </xf>
    <xf numFmtId="0" fontId="0" fillId="0" borderId="0" xfId="1" applyNumberFormat="1" applyFont="1" applyBorder="1" applyAlignment="1" applyProtection="1">
      <alignment vertical="center"/>
    </xf>
    <xf numFmtId="0" fontId="0" fillId="0" borderId="48" xfId="0" applyNumberFormat="1" applyFont="1" applyFill="1" applyBorder="1" applyAlignment="1" applyProtection="1">
      <alignment vertical="center"/>
    </xf>
    <xf numFmtId="3" fontId="25" fillId="9" borderId="139" xfId="0" applyNumberFormat="1" applyFont="1" applyFill="1" applyBorder="1" applyAlignment="1" applyProtection="1">
      <alignment horizontal="center" vertical="center"/>
    </xf>
    <xf numFmtId="0" fontId="4" fillId="0" borderId="169" xfId="0" applyFont="1" applyBorder="1" applyAlignment="1" applyProtection="1">
      <alignment vertical="center"/>
    </xf>
    <xf numFmtId="180" fontId="0" fillId="0" borderId="32" xfId="0" applyNumberFormat="1" applyFont="1" applyBorder="1" applyAlignment="1" applyProtection="1">
      <alignment horizontal="right" vertical="center"/>
    </xf>
    <xf numFmtId="179" fontId="0" fillId="5" borderId="19" xfId="0" applyNumberFormat="1" applyFont="1" applyFill="1" applyBorder="1" applyAlignment="1" applyProtection="1">
      <alignment vertical="center"/>
    </xf>
    <xf numFmtId="0" fontId="25" fillId="0" borderId="84" xfId="0" applyFont="1" applyBorder="1" applyAlignment="1" applyProtection="1">
      <alignment horizontal="center" vertical="center"/>
    </xf>
    <xf numFmtId="178" fontId="0" fillId="0" borderId="32" xfId="0" applyNumberFormat="1" applyFont="1" applyBorder="1" applyAlignment="1" applyProtection="1">
      <alignment vertical="center"/>
    </xf>
    <xf numFmtId="0" fontId="0" fillId="0" borderId="215" xfId="0" applyFont="1" applyBorder="1" applyAlignment="1" applyProtection="1">
      <alignment horizontal="left" vertical="center"/>
    </xf>
    <xf numFmtId="0" fontId="4" fillId="0" borderId="267" xfId="0" applyFont="1" applyBorder="1" applyAlignment="1" applyProtection="1">
      <alignment vertical="center"/>
    </xf>
    <xf numFmtId="178" fontId="0" fillId="0" borderId="257" xfId="0" applyNumberFormat="1" applyFont="1" applyBorder="1" applyAlignment="1" applyProtection="1">
      <alignment vertical="center"/>
    </xf>
    <xf numFmtId="179" fontId="0" fillId="5" borderId="259" xfId="0" applyNumberFormat="1" applyFont="1" applyFill="1" applyBorder="1" applyAlignment="1" applyProtection="1">
      <alignment vertical="center"/>
    </xf>
    <xf numFmtId="38" fontId="25" fillId="0" borderId="139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216" xfId="0" applyFont="1" applyBorder="1" applyAlignment="1" applyProtection="1">
      <alignment horizontal="left" vertical="center"/>
    </xf>
    <xf numFmtId="0" fontId="4" fillId="0" borderId="268" xfId="0" applyFont="1" applyBorder="1" applyAlignment="1" applyProtection="1">
      <alignment vertical="center"/>
    </xf>
    <xf numFmtId="178" fontId="0" fillId="0" borderId="262" xfId="0" applyNumberFormat="1" applyFont="1" applyBorder="1" applyAlignment="1" applyProtection="1">
      <alignment vertical="center"/>
    </xf>
    <xf numFmtId="179" fontId="0" fillId="5" borderId="264" xfId="0" applyNumberFormat="1" applyFont="1" applyFill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0" fontId="0" fillId="0" borderId="84" xfId="0" applyFont="1" applyBorder="1" applyAlignment="1" applyProtection="1">
      <alignment vertical="center"/>
    </xf>
    <xf numFmtId="0" fontId="4" fillId="0" borderId="173" xfId="0" applyFont="1" applyBorder="1" applyAlignment="1" applyProtection="1">
      <alignment vertical="center"/>
    </xf>
    <xf numFmtId="179" fontId="0" fillId="0" borderId="174" xfId="1" applyNumberFormat="1" applyFont="1" applyBorder="1" applyAlignment="1" applyProtection="1">
      <alignment vertical="center"/>
    </xf>
    <xf numFmtId="184" fontId="0" fillId="0" borderId="175" xfId="0" applyNumberFormat="1" applyFont="1" applyBorder="1" applyAlignment="1" applyProtection="1">
      <alignment vertical="center"/>
    </xf>
    <xf numFmtId="179" fontId="0" fillId="5" borderId="85" xfId="0" applyNumberFormat="1" applyFont="1" applyFill="1" applyBorder="1" applyAlignment="1" applyProtection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22" fillId="0" borderId="0" xfId="0" applyNumberFormat="1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center"/>
    </xf>
    <xf numFmtId="14" fontId="4" fillId="0" borderId="0" xfId="0" applyNumberFormat="1" applyFont="1" applyBorder="1" applyAlignment="1" applyProtection="1">
      <alignment vertical="center"/>
    </xf>
    <xf numFmtId="0" fontId="5" fillId="0" borderId="87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52" xfId="1" applyNumberFormat="1" applyFont="1" applyFill="1" applyBorder="1" applyAlignment="1" applyProtection="1">
      <alignment horizontal="center" vertical="center"/>
    </xf>
    <xf numFmtId="0" fontId="4" fillId="0" borderId="88" xfId="0" applyNumberFormat="1" applyFont="1" applyFill="1" applyBorder="1" applyAlignment="1" applyProtection="1">
      <alignment vertical="center"/>
    </xf>
    <xf numFmtId="0" fontId="4" fillId="0" borderId="89" xfId="0" applyFont="1" applyFill="1" applyBorder="1" applyAlignment="1" applyProtection="1">
      <alignment vertical="center"/>
    </xf>
    <xf numFmtId="0" fontId="4" fillId="0" borderId="62" xfId="0" applyNumberFormat="1" applyFont="1" applyFill="1" applyBorder="1" applyAlignment="1" applyProtection="1">
      <alignment vertical="center"/>
    </xf>
    <xf numFmtId="184" fontId="4" fillId="0" borderId="63" xfId="0" applyNumberFormat="1" applyFont="1" applyBorder="1" applyAlignment="1" applyProtection="1">
      <alignment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0" fontId="4" fillId="0" borderId="91" xfId="0" applyNumberFormat="1" applyFont="1" applyFill="1" applyBorder="1" applyAlignment="1" applyProtection="1">
      <alignment vertical="center"/>
    </xf>
    <xf numFmtId="0" fontId="4" fillId="0" borderId="92" xfId="0" applyNumberFormat="1" applyFont="1" applyFill="1" applyBorder="1" applyAlignment="1" applyProtection="1">
      <alignment vertical="center"/>
    </xf>
    <xf numFmtId="0" fontId="4" fillId="0" borderId="93" xfId="0" applyNumberFormat="1" applyFont="1" applyFill="1" applyBorder="1" applyAlignment="1" applyProtection="1">
      <alignment vertical="center"/>
    </xf>
    <xf numFmtId="0" fontId="4" fillId="0" borderId="94" xfId="0" applyNumberFormat="1" applyFont="1" applyFill="1" applyBorder="1" applyAlignment="1" applyProtection="1">
      <alignment vertical="center"/>
    </xf>
    <xf numFmtId="184" fontId="4" fillId="0" borderId="94" xfId="0" applyNumberFormat="1" applyFont="1" applyBorder="1" applyAlignment="1" applyProtection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0" fontId="4" fillId="0" borderId="96" xfId="0" applyNumberFormat="1" applyFont="1" applyFill="1" applyBorder="1" applyAlignment="1" applyProtection="1">
      <alignment vertical="center"/>
    </xf>
    <xf numFmtId="0" fontId="4" fillId="0" borderId="97" xfId="0" applyFont="1" applyFill="1" applyBorder="1" applyAlignment="1" applyProtection="1">
      <alignment vertical="center"/>
    </xf>
    <xf numFmtId="0" fontId="4" fillId="0" borderId="98" xfId="0" applyNumberFormat="1" applyFont="1" applyFill="1" applyBorder="1" applyAlignment="1" applyProtection="1">
      <alignment vertical="center"/>
    </xf>
    <xf numFmtId="0" fontId="4" fillId="0" borderId="99" xfId="0" applyFont="1" applyFill="1" applyBorder="1" applyAlignment="1" applyProtection="1">
      <alignment vertical="center"/>
    </xf>
    <xf numFmtId="184" fontId="4" fillId="0" borderId="99" xfId="0" applyNumberFormat="1" applyFont="1" applyBorder="1" applyAlignment="1" applyProtection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 applyProtection="1">
      <alignment horizontal="center" vertical="center"/>
    </xf>
    <xf numFmtId="41" fontId="10" fillId="4" borderId="101" xfId="0" applyNumberFormat="1" applyFont="1" applyFill="1" applyBorder="1" applyAlignment="1" applyProtection="1">
      <alignment horizontal="center" vertical="center"/>
    </xf>
    <xf numFmtId="41" fontId="10" fillId="4" borderId="102" xfId="0" applyNumberFormat="1" applyFont="1" applyFill="1" applyBorder="1" applyAlignment="1" applyProtection="1">
      <alignment horizontal="center" vertical="center"/>
    </xf>
    <xf numFmtId="41" fontId="10" fillId="4" borderId="103" xfId="0" applyNumberFormat="1" applyFont="1" applyFill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vertical="center"/>
    </xf>
    <xf numFmtId="0" fontId="4" fillId="0" borderId="106" xfId="0" applyFont="1" applyBorder="1" applyAlignment="1" applyProtection="1">
      <alignment horizontal="right" vertical="center" indent="1"/>
    </xf>
    <xf numFmtId="0" fontId="4" fillId="0" borderId="106" xfId="0" applyFont="1" applyBorder="1" applyAlignment="1" applyProtection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179" fontId="4" fillId="0" borderId="106" xfId="0" applyNumberFormat="1" applyFont="1" applyBorder="1" applyAlignment="1" applyProtection="1">
      <alignment horizontal="right" vertical="center"/>
    </xf>
    <xf numFmtId="179" fontId="4" fillId="0" borderId="112" xfId="0" applyNumberFormat="1" applyFont="1" applyBorder="1" applyAlignment="1" applyProtection="1">
      <alignment horizontal="right" vertical="center"/>
    </xf>
    <xf numFmtId="179" fontId="4" fillId="0" borderId="105" xfId="0" applyNumberFormat="1" applyFont="1" applyBorder="1" applyAlignment="1" applyProtection="1">
      <alignment horizontal="right" vertical="center"/>
    </xf>
    <xf numFmtId="179" fontId="4" fillId="0" borderId="113" xfId="0" applyNumberFormat="1" applyFont="1" applyBorder="1" applyAlignment="1" applyProtection="1">
      <alignment horizontal="right" vertical="center"/>
    </xf>
    <xf numFmtId="179" fontId="4" fillId="0" borderId="107" xfId="1" applyNumberFormat="1" applyFont="1" applyFill="1" applyBorder="1" applyAlignment="1" applyProtection="1">
      <alignment horizontal="right" vertical="center"/>
    </xf>
    <xf numFmtId="0" fontId="4" fillId="0" borderId="114" xfId="0" applyFont="1" applyBorder="1" applyAlignment="1" applyProtection="1">
      <alignment vertical="center"/>
    </xf>
    <xf numFmtId="0" fontId="7" fillId="0" borderId="236" xfId="0" applyFont="1" applyBorder="1" applyAlignment="1" applyProtection="1">
      <alignment vertical="center" wrapText="1"/>
    </xf>
    <xf numFmtId="179" fontId="4" fillId="5" borderId="238" xfId="0" applyNumberFormat="1" applyFont="1" applyFill="1" applyBorder="1" applyAlignment="1" applyProtection="1">
      <alignment horizontal="right" vertical="center"/>
    </xf>
    <xf numFmtId="184" fontId="4" fillId="0" borderId="254" xfId="1" applyNumberFormat="1" applyFont="1" applyBorder="1" applyAlignment="1" applyProtection="1">
      <alignment horizontal="right" vertical="center"/>
    </xf>
    <xf numFmtId="179" fontId="4" fillId="0" borderId="242" xfId="1" applyNumberFormat="1" applyFont="1" applyBorder="1" applyAlignment="1" applyProtection="1">
      <alignment horizontal="right" vertical="center"/>
    </xf>
    <xf numFmtId="184" fontId="4" fillId="0" borderId="241" xfId="1" applyNumberFormat="1" applyFont="1" applyBorder="1" applyAlignment="1" applyProtection="1">
      <alignment horizontal="right" vertical="center"/>
    </xf>
    <xf numFmtId="184" fontId="4" fillId="0" borderId="241" xfId="0" applyNumberFormat="1" applyFont="1" applyBorder="1" applyAlignment="1" applyProtection="1">
      <alignment horizontal="right" vertical="center"/>
    </xf>
    <xf numFmtId="179" fontId="4" fillId="0" borderId="251" xfId="0" applyNumberFormat="1" applyFont="1" applyBorder="1" applyAlignment="1" applyProtection="1">
      <alignment horizontal="right" vertical="center"/>
    </xf>
    <xf numFmtId="179" fontId="4" fillId="0" borderId="238" xfId="0" applyNumberFormat="1" applyFont="1" applyFill="1" applyBorder="1" applyAlignment="1" applyProtection="1">
      <alignment horizontal="right" vertical="center"/>
    </xf>
    <xf numFmtId="0" fontId="4" fillId="0" borderId="105" xfId="0" applyFont="1" applyBorder="1" applyAlignment="1" applyProtection="1">
      <alignment vertical="top"/>
    </xf>
    <xf numFmtId="0" fontId="7" fillId="0" borderId="237" xfId="0" applyFont="1" applyBorder="1" applyAlignment="1" applyProtection="1">
      <alignment vertical="center" wrapText="1"/>
    </xf>
    <xf numFmtId="179" fontId="4" fillId="5" borderId="244" xfId="0" applyNumberFormat="1" applyFont="1" applyFill="1" applyBorder="1" applyAlignment="1" applyProtection="1">
      <alignment horizontal="right" vertical="center"/>
    </xf>
    <xf numFmtId="184" fontId="4" fillId="0" borderId="255" xfId="1" applyNumberFormat="1" applyFont="1" applyBorder="1" applyAlignment="1" applyProtection="1">
      <alignment horizontal="right" vertical="center"/>
    </xf>
    <xf numFmtId="179" fontId="4" fillId="0" borderId="248" xfId="1" applyNumberFormat="1" applyFont="1" applyBorder="1" applyAlignment="1" applyProtection="1">
      <alignment horizontal="right" vertical="center"/>
    </xf>
    <xf numFmtId="184" fontId="4" fillId="0" borderId="247" xfId="1" applyNumberFormat="1" applyFont="1" applyBorder="1" applyAlignment="1" applyProtection="1">
      <alignment horizontal="right" vertical="center"/>
    </xf>
    <xf numFmtId="184" fontId="4" fillId="0" borderId="247" xfId="0" applyNumberFormat="1" applyFont="1" applyBorder="1" applyAlignment="1" applyProtection="1">
      <alignment horizontal="right" vertical="center"/>
    </xf>
    <xf numFmtId="179" fontId="4" fillId="0" borderId="253" xfId="0" applyNumberFormat="1" applyFont="1" applyBorder="1" applyAlignment="1" applyProtection="1">
      <alignment horizontal="right" vertical="center"/>
    </xf>
    <xf numFmtId="179" fontId="4" fillId="0" borderId="244" xfId="0" applyNumberFormat="1" applyFont="1" applyFill="1" applyBorder="1" applyAlignment="1" applyProtection="1">
      <alignment horizontal="right" vertical="center"/>
    </xf>
    <xf numFmtId="0" fontId="4" fillId="12" borderId="128" xfId="0" applyFont="1" applyFill="1" applyBorder="1" applyAlignment="1" applyProtection="1">
      <alignment vertical="center"/>
    </xf>
    <xf numFmtId="0" fontId="7" fillId="0" borderId="241" xfId="0" applyFont="1" applyBorder="1" applyAlignment="1" applyProtection="1">
      <alignment vertical="center"/>
    </xf>
    <xf numFmtId="184" fontId="4" fillId="0" borderId="250" xfId="1" applyNumberFormat="1" applyFont="1" applyBorder="1" applyAlignment="1" applyProtection="1">
      <alignment horizontal="right" vertical="center"/>
    </xf>
    <xf numFmtId="0" fontId="0" fillId="12" borderId="210" xfId="0" applyFill="1" applyBorder="1" applyAlignment="1" applyProtection="1">
      <alignment vertical="center"/>
    </xf>
    <xf numFmtId="0" fontId="7" fillId="0" borderId="247" xfId="0" applyFont="1" applyBorder="1" applyAlignment="1" applyProtection="1">
      <alignment vertical="center"/>
    </xf>
    <xf numFmtId="184" fontId="4" fillId="0" borderId="252" xfId="1" applyNumberFormat="1" applyFont="1" applyBorder="1" applyAlignment="1" applyProtection="1">
      <alignment horizontal="right" vertical="center"/>
    </xf>
    <xf numFmtId="0" fontId="4" fillId="0" borderId="121" xfId="0" applyFont="1" applyBorder="1" applyAlignment="1" applyProtection="1">
      <alignment vertical="center"/>
    </xf>
    <xf numFmtId="0" fontId="4" fillId="0" borderId="122" xfId="0" applyFont="1" applyBorder="1" applyAlignment="1" applyProtection="1">
      <alignment vertical="center"/>
    </xf>
    <xf numFmtId="0" fontId="7" fillId="0" borderId="133" xfId="0" applyFont="1" applyBorder="1" applyAlignment="1" applyProtection="1">
      <alignment vertical="center" wrapText="1"/>
    </xf>
    <xf numFmtId="179" fontId="4" fillId="5" borderId="123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 applyProtection="1">
      <alignment horizontal="right" vertical="center"/>
    </xf>
    <xf numFmtId="179" fontId="4" fillId="0" borderId="124" xfId="0" applyNumberFormat="1" applyFont="1" applyBorder="1" applyAlignment="1" applyProtection="1">
      <alignment horizontal="right" vertical="center"/>
    </xf>
    <xf numFmtId="179" fontId="4" fillId="0" borderId="125" xfId="0" applyNumberFormat="1" applyFont="1" applyBorder="1" applyAlignment="1" applyProtection="1">
      <alignment horizontal="right" vertical="center"/>
    </xf>
    <xf numFmtId="179" fontId="4" fillId="0" borderId="123" xfId="0" applyNumberFormat="1" applyFont="1" applyFill="1" applyBorder="1" applyAlignment="1" applyProtection="1">
      <alignment horizontal="right" vertical="center"/>
    </xf>
    <xf numFmtId="179" fontId="4" fillId="16" borderId="134" xfId="1" applyNumberFormat="1" applyFont="1" applyFill="1" applyBorder="1" applyAlignment="1" applyProtection="1">
      <alignment horizontal="right" vertical="center"/>
    </xf>
    <xf numFmtId="179" fontId="4" fillId="16" borderId="0" xfId="1" applyNumberFormat="1" applyFont="1" applyFill="1" applyBorder="1" applyAlignment="1" applyProtection="1">
      <alignment horizontal="right" vertical="center"/>
    </xf>
    <xf numFmtId="179" fontId="4" fillId="16" borderId="135" xfId="1" applyNumberFormat="1" applyFont="1" applyFill="1" applyBorder="1" applyAlignment="1" applyProtection="1">
      <alignment horizontal="right" vertical="center"/>
    </xf>
    <xf numFmtId="179" fontId="4" fillId="16" borderId="47" xfId="1" applyNumberFormat="1" applyFont="1" applyFill="1" applyBorder="1" applyAlignment="1" applyProtection="1">
      <alignment horizontal="right" vertical="center"/>
    </xf>
    <xf numFmtId="179" fontId="4" fillId="16" borderId="47" xfId="0" applyNumberFormat="1" applyFont="1" applyFill="1" applyBorder="1" applyAlignment="1" applyProtection="1">
      <alignment horizontal="right" vertical="center"/>
    </xf>
    <xf numFmtId="179" fontId="4" fillId="16" borderId="48" xfId="0" applyNumberFormat="1" applyFont="1" applyFill="1" applyBorder="1" applyAlignment="1" applyProtection="1">
      <alignment horizontal="right" vertical="center"/>
    </xf>
    <xf numFmtId="179" fontId="4" fillId="0" borderId="134" xfId="1" applyNumberFormat="1" applyFont="1" applyFill="1" applyBorder="1" applyAlignment="1" applyProtection="1">
      <alignment horizontal="right" vertical="center"/>
    </xf>
    <xf numFmtId="0" fontId="4" fillId="0" borderId="226" xfId="0" applyFont="1" applyBorder="1" applyAlignment="1" applyProtection="1">
      <alignment vertical="center"/>
    </xf>
    <xf numFmtId="0" fontId="4" fillId="0" borderId="227" xfId="0" applyFont="1" applyBorder="1" applyAlignment="1" applyProtection="1">
      <alignment vertical="center"/>
    </xf>
    <xf numFmtId="0" fontId="7" fillId="0" borderId="161" xfId="0" applyFont="1" applyBorder="1" applyAlignment="1" applyProtection="1">
      <alignment vertical="center"/>
    </xf>
    <xf numFmtId="179" fontId="4" fillId="5" borderId="144" xfId="0" applyNumberFormat="1" applyFont="1" applyFill="1" applyBorder="1" applyAlignment="1" applyProtection="1">
      <alignment horizontal="right" vertical="center"/>
    </xf>
    <xf numFmtId="179" fontId="4" fillId="0" borderId="142" xfId="0" applyNumberFormat="1" applyFont="1" applyBorder="1" applyAlignment="1" applyProtection="1">
      <alignment horizontal="right" vertical="center"/>
    </xf>
    <xf numFmtId="179" fontId="4" fillId="0" borderId="160" xfId="0" applyNumberFormat="1" applyFont="1" applyBorder="1" applyAlignment="1" applyProtection="1">
      <alignment horizontal="right" vertical="center"/>
    </xf>
    <xf numFmtId="179" fontId="4" fillId="0" borderId="235" xfId="0" applyNumberFormat="1" applyFont="1" applyBorder="1" applyAlignment="1" applyProtection="1">
      <alignment horizontal="right" vertical="center"/>
    </xf>
    <xf numFmtId="179" fontId="4" fillId="0" borderId="144" xfId="1" applyNumberFormat="1" applyFont="1" applyFill="1" applyBorder="1" applyAlignment="1" applyProtection="1">
      <alignment horizontal="right" vertical="center"/>
    </xf>
    <xf numFmtId="0" fontId="7" fillId="0" borderId="236" xfId="0" applyFont="1" applyBorder="1" applyAlignment="1" applyProtection="1">
      <alignment vertical="center"/>
    </xf>
    <xf numFmtId="179" fontId="4" fillId="5" borderId="238" xfId="1" applyNumberFormat="1" applyFont="1" applyFill="1" applyBorder="1" applyAlignment="1" applyProtection="1">
      <alignment horizontal="right" vertical="center"/>
    </xf>
    <xf numFmtId="184" fontId="4" fillId="0" borderId="239" xfId="0" applyNumberFormat="1" applyFont="1" applyBorder="1" applyAlignment="1" applyProtection="1">
      <alignment horizontal="right" vertical="center"/>
    </xf>
    <xf numFmtId="179" fontId="4" fillId="0" borderId="240" xfId="0" applyNumberFormat="1" applyFont="1" applyBorder="1" applyAlignment="1" applyProtection="1">
      <alignment horizontal="right" vertical="center"/>
    </xf>
    <xf numFmtId="179" fontId="4" fillId="0" borderId="242" xfId="0" applyNumberFormat="1" applyFont="1" applyBorder="1" applyAlignment="1" applyProtection="1">
      <alignment horizontal="right" vertical="center"/>
    </xf>
    <xf numFmtId="184" fontId="4" fillId="0" borderId="243" xfId="0" applyNumberFormat="1" applyFont="1" applyBorder="1" applyAlignment="1" applyProtection="1">
      <alignment horizontal="right" vertical="center"/>
    </xf>
    <xf numFmtId="179" fontId="4" fillId="0" borderId="238" xfId="1" applyNumberFormat="1" applyFont="1" applyFill="1" applyBorder="1" applyAlignment="1" applyProtection="1">
      <alignment horizontal="right" vertical="center"/>
    </xf>
    <xf numFmtId="0" fontId="7" fillId="0" borderId="237" xfId="0" applyFont="1" applyBorder="1" applyAlignment="1" applyProtection="1">
      <alignment vertical="center"/>
    </xf>
    <xf numFmtId="179" fontId="4" fillId="5" borderId="244" xfId="1" applyNumberFormat="1" applyFont="1" applyFill="1" applyBorder="1" applyAlignment="1" applyProtection="1">
      <alignment horizontal="right" vertical="center"/>
    </xf>
    <xf numFmtId="184" fontId="4" fillId="0" borderId="245" xfId="0" applyNumberFormat="1" applyFont="1" applyBorder="1" applyAlignment="1" applyProtection="1">
      <alignment horizontal="right" vertical="center"/>
    </xf>
    <xf numFmtId="179" fontId="4" fillId="0" borderId="246" xfId="0" applyNumberFormat="1" applyFont="1" applyBorder="1" applyAlignment="1" applyProtection="1">
      <alignment horizontal="right" vertical="center"/>
    </xf>
    <xf numFmtId="179" fontId="4" fillId="0" borderId="248" xfId="0" applyNumberFormat="1" applyFont="1" applyBorder="1" applyAlignment="1" applyProtection="1">
      <alignment horizontal="right" vertical="center"/>
    </xf>
    <xf numFmtId="184" fontId="4" fillId="0" borderId="249" xfId="0" applyNumberFormat="1" applyFont="1" applyBorder="1" applyAlignment="1" applyProtection="1">
      <alignment horizontal="right" vertical="center"/>
    </xf>
    <xf numFmtId="179" fontId="4" fillId="0" borderId="244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 applyProtection="1">
      <alignment horizontal="right" vertical="center"/>
    </xf>
    <xf numFmtId="179" fontId="4" fillId="0" borderId="119" xfId="0" applyNumberFormat="1" applyFont="1" applyBorder="1" applyAlignment="1" applyProtection="1">
      <alignment horizontal="right" vertical="center"/>
    </xf>
    <xf numFmtId="184" fontId="4" fillId="0" borderId="116" xfId="0" applyNumberFormat="1" applyFont="1" applyBorder="1" applyAlignment="1" applyProtection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7" fillId="0" borderId="110" xfId="0" applyFont="1" applyBorder="1" applyAlignment="1" applyProtection="1">
      <alignment vertical="center"/>
    </xf>
    <xf numFmtId="179" fontId="4" fillId="0" borderId="120" xfId="0" applyNumberFormat="1" applyFont="1" applyBorder="1" applyAlignment="1" applyProtection="1">
      <alignment horizontal="right" vertical="center"/>
    </xf>
    <xf numFmtId="179" fontId="4" fillId="16" borderId="14" xfId="1" applyNumberFormat="1" applyFont="1" applyFill="1" applyBorder="1" applyAlignment="1" applyProtection="1">
      <alignment horizontal="right" vertical="center"/>
    </xf>
    <xf numFmtId="179" fontId="4" fillId="16" borderId="15" xfId="1" applyNumberFormat="1" applyFont="1" applyFill="1" applyBorder="1" applyAlignment="1" applyProtection="1">
      <alignment horizontal="right" vertical="center"/>
    </xf>
    <xf numFmtId="179" fontId="4" fillId="16" borderId="33" xfId="1" applyNumberFormat="1" applyFont="1" applyFill="1" applyBorder="1" applyAlignment="1" applyProtection="1">
      <alignment horizontal="right" vertical="center"/>
    </xf>
    <xf numFmtId="179" fontId="4" fillId="16" borderId="31" xfId="1" applyNumberFormat="1" applyFont="1" applyFill="1" applyBorder="1" applyAlignment="1" applyProtection="1">
      <alignment horizontal="right" vertical="center"/>
    </xf>
    <xf numFmtId="179" fontId="4" fillId="16" borderId="31" xfId="0" applyNumberFormat="1" applyFont="1" applyFill="1" applyBorder="1" applyAlignment="1" applyProtection="1">
      <alignment horizontal="right" vertical="center"/>
    </xf>
    <xf numFmtId="179" fontId="4" fillId="16" borderId="19" xfId="0" applyNumberFormat="1" applyFont="1" applyFill="1" applyBorder="1" applyAlignment="1" applyProtection="1">
      <alignment horizontal="right" vertical="center"/>
    </xf>
    <xf numFmtId="179" fontId="4" fillId="0" borderId="14" xfId="1" applyNumberFormat="1" applyFont="1" applyFill="1" applyBorder="1" applyAlignment="1" applyProtection="1">
      <alignment horizontal="right" vertical="center"/>
    </xf>
    <xf numFmtId="0" fontId="4" fillId="0" borderId="172" xfId="0" applyFont="1" applyBorder="1" applyAlignment="1" applyProtection="1">
      <alignment vertical="center"/>
    </xf>
    <xf numFmtId="0" fontId="4" fillId="0" borderId="84" xfId="0" applyFont="1" applyBorder="1" applyAlignment="1" applyProtection="1">
      <alignment vertical="center"/>
    </xf>
    <xf numFmtId="0" fontId="7" fillId="0" borderId="84" xfId="0" applyFont="1" applyBorder="1" applyAlignment="1" applyProtection="1">
      <alignment vertical="center"/>
    </xf>
    <xf numFmtId="179" fontId="4" fillId="5" borderId="139" xfId="1" applyNumberFormat="1" applyFont="1" applyFill="1" applyBorder="1" applyAlignment="1" applyProtection="1">
      <alignment horizontal="right" vertical="center"/>
    </xf>
    <xf numFmtId="184" fontId="4" fillId="0" borderId="84" xfId="0" applyNumberFormat="1" applyFont="1" applyBorder="1" applyAlignment="1" applyProtection="1">
      <alignment horizontal="right" vertical="center"/>
    </xf>
    <xf numFmtId="179" fontId="4" fillId="0" borderId="174" xfId="0" applyNumberFormat="1" applyFont="1" applyBorder="1" applyAlignment="1" applyProtection="1">
      <alignment horizontal="right" vertical="center"/>
    </xf>
    <xf numFmtId="179" fontId="4" fillId="0" borderId="139" xfId="1" applyNumberFormat="1" applyFont="1" applyFill="1" applyBorder="1" applyAlignment="1" applyProtection="1">
      <alignment horizontal="right" vertical="center"/>
    </xf>
    <xf numFmtId="179" fontId="4" fillId="5" borderId="134" xfId="1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Border="1" applyAlignment="1" applyProtection="1">
      <alignment horizontal="right" vertical="center"/>
    </xf>
    <xf numFmtId="179" fontId="4" fillId="0" borderId="209" xfId="0" applyNumberFormat="1" applyFont="1" applyBorder="1" applyAlignment="1" applyProtection="1">
      <alignment horizontal="right" vertical="center"/>
    </xf>
    <xf numFmtId="0" fontId="4" fillId="0" borderId="115" xfId="0" applyFont="1" applyBorder="1" applyAlignment="1" applyProtection="1">
      <alignment vertical="center"/>
    </xf>
    <xf numFmtId="0" fontId="4" fillId="0" borderId="130" xfId="0" applyFont="1" applyBorder="1" applyAlignment="1" applyProtection="1">
      <alignment vertical="center"/>
    </xf>
    <xf numFmtId="0" fontId="7" fillId="0" borderId="130" xfId="0" applyFont="1" applyBorder="1" applyAlignment="1" applyProtection="1">
      <alignment vertical="center"/>
    </xf>
    <xf numFmtId="179" fontId="4" fillId="5" borderId="129" xfId="1" applyNumberFormat="1" applyFont="1" applyFill="1" applyBorder="1" applyAlignment="1" applyProtection="1">
      <alignment horizontal="right" vertical="center"/>
    </xf>
    <xf numFmtId="179" fontId="4" fillId="0" borderId="130" xfId="0" applyNumberFormat="1" applyFont="1" applyBorder="1" applyAlignment="1" applyProtection="1">
      <alignment horizontal="right" vertical="center"/>
    </xf>
    <xf numFmtId="179" fontId="4" fillId="0" borderId="131" xfId="0" applyNumberFormat="1" applyFont="1" applyBorder="1" applyAlignment="1" applyProtection="1">
      <alignment horizontal="right" vertical="center"/>
    </xf>
    <xf numFmtId="179" fontId="4" fillId="0" borderId="115" xfId="0" applyNumberFormat="1" applyFont="1" applyBorder="1" applyAlignment="1" applyProtection="1">
      <alignment horizontal="right" vertical="center"/>
    </xf>
    <xf numFmtId="179" fontId="4" fillId="0" borderId="132" xfId="0" applyNumberFormat="1" applyFont="1" applyBorder="1" applyAlignment="1" applyProtection="1">
      <alignment horizontal="right" vertical="center"/>
    </xf>
    <xf numFmtId="179" fontId="4" fillId="0" borderId="129" xfId="1" applyNumberFormat="1" applyFont="1" applyFill="1" applyBorder="1" applyAlignment="1" applyProtection="1">
      <alignment horizontal="right" vertical="center"/>
    </xf>
    <xf numFmtId="179" fontId="4" fillId="16" borderId="233" xfId="1" applyNumberFormat="1" applyFont="1" applyFill="1" applyBorder="1" applyAlignment="1" applyProtection="1">
      <alignment horizontal="right" vertical="center"/>
    </xf>
    <xf numFmtId="179" fontId="4" fillId="16" borderId="20" xfId="0" applyNumberFormat="1" applyFont="1" applyFill="1" applyBorder="1" applyAlignment="1" applyProtection="1">
      <alignment horizontal="right" vertical="center"/>
    </xf>
    <xf numFmtId="179" fontId="4" fillId="16" borderId="39" xfId="0" applyNumberFormat="1" applyFont="1" applyFill="1" applyBorder="1" applyAlignment="1" applyProtection="1">
      <alignment horizontal="right" vertical="center"/>
    </xf>
    <xf numFmtId="179" fontId="4" fillId="16" borderId="37" xfId="0" applyNumberFormat="1" applyFont="1" applyFill="1" applyBorder="1" applyAlignment="1" applyProtection="1">
      <alignment horizontal="right" vertical="center"/>
    </xf>
    <xf numFmtId="179" fontId="4" fillId="16" borderId="68" xfId="0" applyNumberFormat="1" applyFont="1" applyFill="1" applyBorder="1" applyAlignment="1" applyProtection="1">
      <alignment horizontal="right" vertical="center"/>
    </xf>
    <xf numFmtId="179" fontId="4" fillId="0" borderId="233" xfId="1" applyNumberFormat="1" applyFont="1" applyFill="1" applyBorder="1" applyAlignment="1" applyProtection="1">
      <alignment horizontal="right" vertical="center"/>
    </xf>
    <xf numFmtId="179" fontId="5" fillId="6" borderId="139" xfId="1" applyNumberFormat="1" applyFont="1" applyFill="1" applyBorder="1" applyAlignment="1" applyProtection="1">
      <alignment horizontal="right" vertical="center"/>
    </xf>
    <xf numFmtId="179" fontId="8" fillId="0" borderId="140" xfId="1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1" fontId="4" fillId="0" borderId="0" xfId="0" applyNumberFormat="1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4" fillId="0" borderId="141" xfId="0" applyFont="1" applyBorder="1" applyAlignment="1" applyProtection="1">
      <alignment vertical="center"/>
    </xf>
    <xf numFmtId="0" fontId="4" fillId="0" borderId="142" xfId="0" applyFont="1" applyBorder="1" applyAlignment="1" applyProtection="1">
      <alignment vertical="center"/>
    </xf>
    <xf numFmtId="0" fontId="4" fillId="0" borderId="143" xfId="0" applyFont="1" applyBorder="1" applyAlignment="1" applyProtection="1">
      <alignment vertical="center"/>
    </xf>
    <xf numFmtId="0" fontId="4" fillId="0" borderId="144" xfId="0" applyFont="1" applyBorder="1" applyAlignment="1" applyProtection="1">
      <alignment vertical="center"/>
    </xf>
    <xf numFmtId="41" fontId="4" fillId="0" borderId="145" xfId="1" applyNumberFormat="1" applyFont="1" applyFill="1" applyBorder="1" applyAlignment="1" applyProtection="1">
      <alignment vertical="center"/>
    </xf>
    <xf numFmtId="41" fontId="4" fillId="0" borderId="146" xfId="1" applyNumberFormat="1" applyFont="1" applyFill="1" applyBorder="1" applyAlignment="1" applyProtection="1">
      <alignment vertical="center"/>
    </xf>
    <xf numFmtId="41" fontId="4" fillId="0" borderId="146" xfId="0" applyNumberFormat="1" applyFont="1" applyFill="1" applyBorder="1" applyAlignment="1" applyProtection="1">
      <alignment vertical="center"/>
    </xf>
    <xf numFmtId="41" fontId="4" fillId="0" borderId="147" xfId="0" applyNumberFormat="1" applyFont="1" applyFill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134" xfId="0" applyFont="1" applyBorder="1" applyAlignment="1" applyProtection="1">
      <alignment horizontal="center" vertical="center"/>
    </xf>
    <xf numFmtId="186" fontId="4" fillId="0" borderId="43" xfId="0" applyNumberFormat="1" applyFont="1" applyFill="1" applyBorder="1" applyAlignment="1" applyProtection="1">
      <alignment vertical="center"/>
    </xf>
    <xf numFmtId="188" fontId="4" fillId="0" borderId="135" xfId="0" applyNumberFormat="1" applyFont="1" applyFill="1" applyBorder="1" applyAlignment="1" applyProtection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center"/>
    </xf>
    <xf numFmtId="187" fontId="4" fillId="0" borderId="135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vertical="center"/>
    </xf>
    <xf numFmtId="0" fontId="4" fillId="0" borderId="85" xfId="0" applyFont="1" applyBorder="1" applyAlignment="1" applyProtection="1">
      <alignment vertical="center"/>
    </xf>
    <xf numFmtId="0" fontId="4" fillId="0" borderId="139" xfId="0" applyFont="1" applyBorder="1" applyAlignment="1" applyProtection="1">
      <alignment vertical="center"/>
    </xf>
    <xf numFmtId="41" fontId="10" fillId="4" borderId="148" xfId="0" applyNumberFormat="1" applyFont="1" applyFill="1" applyBorder="1" applyAlignment="1" applyProtection="1">
      <alignment horizontal="center" vertical="center"/>
    </xf>
    <xf numFmtId="41" fontId="10" fillId="4" borderId="42" xfId="0" applyNumberFormat="1" applyFont="1" applyFill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vertical="center"/>
    </xf>
    <xf numFmtId="0" fontId="4" fillId="0" borderId="152" xfId="0" applyFont="1" applyBorder="1" applyAlignment="1" applyProtection="1">
      <alignment vertical="center"/>
    </xf>
    <xf numFmtId="179" fontId="4" fillId="0" borderId="129" xfId="0" applyNumberFormat="1" applyFont="1" applyBorder="1" applyAlignment="1" applyProtection="1">
      <alignment vertical="center"/>
    </xf>
    <xf numFmtId="0" fontId="4" fillId="0" borderId="153" xfId="0" applyFont="1" applyBorder="1" applyAlignment="1" applyProtection="1">
      <alignment vertical="center"/>
    </xf>
    <xf numFmtId="179" fontId="4" fillId="0" borderId="131" xfId="0" applyNumberFormat="1" applyFont="1" applyBorder="1" applyAlignment="1" applyProtection="1">
      <alignment vertical="center"/>
    </xf>
    <xf numFmtId="0" fontId="4" fillId="0" borderId="154" xfId="0" applyFont="1" applyBorder="1" applyAlignment="1" applyProtection="1">
      <alignment vertical="center"/>
    </xf>
    <xf numFmtId="179" fontId="4" fillId="0" borderId="132" xfId="0" applyNumberFormat="1" applyFont="1" applyBorder="1" applyAlignment="1" applyProtection="1">
      <alignment vertical="center"/>
    </xf>
    <xf numFmtId="176" fontId="4" fillId="0" borderId="178" xfId="1" applyNumberFormat="1" applyFont="1" applyBorder="1" applyAlignment="1" applyProtection="1">
      <alignment vertical="center"/>
    </xf>
    <xf numFmtId="179" fontId="4" fillId="0" borderId="179" xfId="0" applyNumberFormat="1" applyFont="1" applyBorder="1" applyAlignment="1" applyProtection="1">
      <alignment vertical="center"/>
    </xf>
    <xf numFmtId="176" fontId="4" fillId="0" borderId="180" xfId="1" applyNumberFormat="1" applyFont="1" applyBorder="1" applyAlignment="1" applyProtection="1">
      <alignment vertical="center"/>
    </xf>
    <xf numFmtId="184" fontId="4" fillId="0" borderId="181" xfId="0" applyNumberFormat="1" applyFont="1" applyBorder="1" applyAlignment="1" applyProtection="1">
      <alignment vertical="center"/>
    </xf>
    <xf numFmtId="176" fontId="4" fillId="0" borderId="180" xfId="0" applyNumberFormat="1" applyFont="1" applyBorder="1" applyAlignment="1" applyProtection="1">
      <alignment vertical="center"/>
    </xf>
    <xf numFmtId="176" fontId="4" fillId="0" borderId="182" xfId="0" applyNumberFormat="1" applyFont="1" applyBorder="1" applyAlignment="1" applyProtection="1">
      <alignment vertical="center"/>
    </xf>
    <xf numFmtId="0" fontId="4" fillId="0" borderId="117" xfId="0" applyFont="1" applyBorder="1" applyAlignment="1" applyProtection="1">
      <alignment vertical="center"/>
    </xf>
    <xf numFmtId="0" fontId="7" fillId="0" borderId="113" xfId="0" applyFont="1" applyBorder="1" applyAlignment="1" applyProtection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9" fontId="4" fillId="0" borderId="149" xfId="0" applyNumberFormat="1" applyFont="1" applyBorder="1" applyAlignment="1" applyProtection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50" xfId="0" applyNumberFormat="1" applyFont="1" applyBorder="1" applyAlignment="1" applyProtection="1">
      <alignment vertical="center"/>
    </xf>
    <xf numFmtId="176" fontId="4" fillId="0" borderId="108" xfId="0" applyNumberFormat="1" applyFont="1" applyBorder="1" applyAlignment="1" applyProtection="1">
      <alignment vertical="center"/>
    </xf>
    <xf numFmtId="176" fontId="4" fillId="0" borderId="109" xfId="0" applyNumberFormat="1" applyFont="1" applyBorder="1" applyAlignment="1" applyProtection="1">
      <alignment vertical="center"/>
    </xf>
    <xf numFmtId="176" fontId="4" fillId="0" borderId="129" xfId="0" applyNumberFormat="1" applyFont="1" applyBorder="1" applyAlignment="1" applyProtection="1">
      <alignment vertical="center"/>
    </xf>
    <xf numFmtId="184" fontId="4" fillId="0" borderId="153" xfId="0" applyNumberFormat="1" applyFont="1" applyBorder="1" applyAlignment="1" applyProtection="1">
      <alignment vertical="center"/>
    </xf>
    <xf numFmtId="176" fontId="4" fillId="0" borderId="131" xfId="0" applyNumberFormat="1" applyFont="1" applyBorder="1" applyAlignment="1" applyProtection="1">
      <alignment vertical="center"/>
    </xf>
    <xf numFmtId="184" fontId="4" fillId="0" borderId="154" xfId="0" applyNumberFormat="1" applyFont="1" applyBorder="1" applyAlignment="1" applyProtection="1">
      <alignment vertical="center"/>
    </xf>
    <xf numFmtId="176" fontId="4" fillId="0" borderId="132" xfId="0" applyNumberFormat="1" applyFont="1" applyBorder="1" applyAlignment="1" applyProtection="1">
      <alignment vertical="center"/>
    </xf>
    <xf numFmtId="176" fontId="4" fillId="0" borderId="100" xfId="0" applyNumberFormat="1" applyFont="1" applyBorder="1" applyAlignment="1" applyProtection="1">
      <alignment vertical="center"/>
    </xf>
    <xf numFmtId="179" fontId="4" fillId="0" borderId="41" xfId="0" applyNumberFormat="1" applyFont="1" applyBorder="1" applyAlignment="1" applyProtection="1">
      <alignment vertical="center"/>
    </xf>
    <xf numFmtId="176" fontId="4" fillId="0" borderId="101" xfId="0" applyNumberFormat="1" applyFont="1" applyBorder="1" applyAlignment="1" applyProtection="1">
      <alignment vertical="center"/>
    </xf>
    <xf numFmtId="176" fontId="4" fillId="0" borderId="42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3" fontId="25" fillId="9" borderId="134" xfId="0" applyNumberFormat="1" applyFont="1" applyFill="1" applyBorder="1" applyAlignment="1" applyProtection="1">
      <alignment horizontal="right" vertical="center"/>
    </xf>
    <xf numFmtId="41" fontId="31" fillId="0" borderId="51" xfId="0" applyNumberFormat="1" applyFont="1" applyBorder="1" applyAlignment="1" applyProtection="1">
      <alignment vertical="center"/>
    </xf>
    <xf numFmtId="41" fontId="4" fillId="0" borderId="163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1" fontId="4" fillId="0" borderId="46" xfId="0" applyNumberFormat="1" applyFont="1" applyBorder="1" applyAlignment="1" applyProtection="1">
      <alignment vertical="center"/>
    </xf>
    <xf numFmtId="41" fontId="4" fillId="0" borderId="13" xfId="0" applyNumberFormat="1" applyFont="1" applyBorder="1" applyAlignment="1" applyProtection="1">
      <alignment vertical="center"/>
    </xf>
    <xf numFmtId="38" fontId="31" fillId="0" borderId="9" xfId="1" applyFont="1" applyFill="1" applyBorder="1" applyProtection="1"/>
    <xf numFmtId="38" fontId="31" fillId="0" borderId="14" xfId="1" applyFont="1" applyFill="1" applyBorder="1" applyProtection="1"/>
    <xf numFmtId="38" fontId="31" fillId="0" borderId="17" xfId="1" applyFont="1" applyFill="1" applyBorder="1" applyProtection="1"/>
    <xf numFmtId="179" fontId="0" fillId="0" borderId="211" xfId="0" applyNumberFormat="1" applyFont="1" applyFill="1" applyBorder="1" applyAlignment="1" applyProtection="1">
      <alignment horizontal="right" vertical="center"/>
    </xf>
    <xf numFmtId="0" fontId="13" fillId="0" borderId="164" xfId="0" applyFont="1" applyBorder="1" applyAlignment="1" applyProtection="1">
      <alignment horizontal="center" vertical="top"/>
    </xf>
    <xf numFmtId="14" fontId="0" fillId="2" borderId="11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179" fontId="0" fillId="5" borderId="217" xfId="1" applyNumberFormat="1" applyFont="1" applyFill="1" applyBorder="1" applyAlignment="1" applyProtection="1">
      <alignment vertical="center"/>
    </xf>
    <xf numFmtId="179" fontId="0" fillId="5" borderId="218" xfId="1" applyNumberFormat="1" applyFont="1" applyFill="1" applyBorder="1" applyAlignment="1" applyProtection="1">
      <alignment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71" xfId="1" applyNumberFormat="1" applyFont="1" applyFill="1" applyBorder="1" applyAlignment="1" applyProtection="1">
      <alignment vertical="center"/>
    </xf>
    <xf numFmtId="179" fontId="0" fillId="5" borderId="261" xfId="1" applyNumberFormat="1" applyFont="1" applyFill="1" applyBorder="1" applyAlignment="1" applyProtection="1">
      <alignment vertical="center"/>
    </xf>
    <xf numFmtId="179" fontId="0" fillId="5" borderId="259" xfId="1" applyNumberFormat="1" applyFont="1" applyFill="1" applyBorder="1" applyAlignment="1" applyProtection="1">
      <alignment vertical="center"/>
    </xf>
    <xf numFmtId="179" fontId="0" fillId="5" borderId="266" xfId="1" applyNumberFormat="1" applyFont="1" applyFill="1" applyBorder="1" applyAlignment="1" applyProtection="1">
      <alignment vertical="center"/>
    </xf>
    <xf numFmtId="179" fontId="0" fillId="5" borderId="264" xfId="1" applyNumberFormat="1" applyFont="1" applyFill="1" applyBorder="1" applyAlignment="1" applyProtection="1">
      <alignment vertical="center"/>
    </xf>
    <xf numFmtId="179" fontId="0" fillId="5" borderId="45" xfId="1" applyNumberFormat="1" applyFont="1" applyFill="1" applyBorder="1" applyAlignment="1" applyProtection="1">
      <alignment vertical="center"/>
    </xf>
    <xf numFmtId="179" fontId="0" fillId="5" borderId="46" xfId="1" applyNumberFormat="1" applyFont="1" applyFill="1" applyBorder="1" applyAlignment="1" applyProtection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9" fontId="0" fillId="0" borderId="162" xfId="1" applyNumberFormat="1" applyFont="1" applyFill="1" applyBorder="1" applyAlignment="1" applyProtection="1">
      <alignment horizontal="right" vertical="center"/>
    </xf>
    <xf numFmtId="179" fontId="0" fillId="0" borderId="198" xfId="1" applyNumberFormat="1" applyFont="1" applyFill="1" applyBorder="1" applyAlignment="1" applyProtection="1">
      <alignment horizontal="right" vertical="center"/>
    </xf>
    <xf numFmtId="179" fontId="0" fillId="0" borderId="49" xfId="0" applyNumberFormat="1" applyFont="1" applyFill="1" applyBorder="1" applyAlignment="1" applyProtection="1">
      <alignment vertical="center"/>
    </xf>
    <xf numFmtId="179" fontId="0" fillId="0" borderId="15" xfId="0" applyNumberFormat="1" applyFont="1" applyFill="1" applyBorder="1" applyAlignment="1" applyProtection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179" fontId="0" fillId="0" borderId="197" xfId="1" applyNumberFormat="1" applyFont="1" applyFill="1" applyBorder="1" applyAlignment="1" applyProtection="1">
      <alignment horizontal="right" vertical="center"/>
    </xf>
    <xf numFmtId="179" fontId="0" fillId="0" borderId="163" xfId="1" applyNumberFormat="1" applyFont="1" applyFill="1" applyBorder="1" applyAlignment="1" applyProtection="1">
      <alignment horizontal="right" vertical="center"/>
    </xf>
    <xf numFmtId="179" fontId="0" fillId="0" borderId="19" xfId="0" applyNumberFormat="1" applyFont="1" applyFill="1" applyBorder="1" applyAlignment="1" applyProtection="1">
      <alignment vertical="center"/>
    </xf>
    <xf numFmtId="179" fontId="0" fillId="0" borderId="265" xfId="1" applyNumberFormat="1" applyFont="1" applyFill="1" applyBorder="1" applyAlignment="1" applyProtection="1">
      <alignment vertical="center"/>
    </xf>
    <xf numFmtId="179" fontId="0" fillId="0" borderId="263" xfId="1" applyNumberFormat="1" applyFont="1" applyFill="1" applyBorder="1" applyAlignment="1" applyProtection="1">
      <alignment vertical="center"/>
    </xf>
    <xf numFmtId="179" fontId="0" fillId="0" borderId="44" xfId="1" applyNumberFormat="1" applyFont="1" applyFill="1" applyBorder="1" applyAlignment="1" applyProtection="1">
      <alignment vertical="center"/>
    </xf>
    <xf numFmtId="179" fontId="0" fillId="0" borderId="177" xfId="1" applyNumberFormat="1" applyFont="1" applyFill="1" applyBorder="1" applyAlignment="1" applyProtection="1">
      <alignment vertical="center"/>
    </xf>
    <xf numFmtId="179" fontId="0" fillId="0" borderId="260" xfId="1" applyNumberFormat="1" applyFont="1" applyFill="1" applyBorder="1" applyAlignment="1" applyProtection="1">
      <alignment vertical="center"/>
    </xf>
    <xf numFmtId="179" fontId="0" fillId="0" borderId="258" xfId="1" applyNumberFormat="1" applyFont="1" applyFill="1" applyBorder="1" applyAlignment="1" applyProtection="1">
      <alignment vertical="center"/>
    </xf>
    <xf numFmtId="0" fontId="16" fillId="4" borderId="165" xfId="0" applyFont="1" applyFill="1" applyBorder="1" applyAlignment="1" applyProtection="1">
      <alignment horizontal="distributed" vertical="center" justifyLastLine="1"/>
    </xf>
    <xf numFmtId="0" fontId="16" fillId="4" borderId="166" xfId="0" applyFont="1" applyFill="1" applyBorder="1" applyAlignment="1" applyProtection="1">
      <alignment horizontal="distributed" vertical="center" justifyLastLine="1"/>
    </xf>
    <xf numFmtId="0" fontId="16" fillId="4" borderId="170" xfId="0" applyFont="1" applyFill="1" applyBorder="1" applyAlignment="1" applyProtection="1">
      <alignment horizontal="distributed" vertical="center" justifyLastLine="1"/>
    </xf>
    <xf numFmtId="0" fontId="9" fillId="0" borderId="165" xfId="0" applyFont="1" applyBorder="1" applyAlignment="1" applyProtection="1">
      <alignment horizontal="distributed" vertical="center" justifyLastLine="1"/>
    </xf>
    <xf numFmtId="0" fontId="0" fillId="0" borderId="166" xfId="0" applyFont="1" applyBorder="1" applyAlignment="1" applyProtection="1">
      <alignment horizontal="distributed" vertical="center" justifyLastLine="1"/>
    </xf>
    <xf numFmtId="0" fontId="0" fillId="0" borderId="170" xfId="0" applyFont="1" applyBorder="1" applyAlignment="1" applyProtection="1">
      <alignment horizontal="distributed" vertical="center" justifyLastLine="1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189" xfId="0" applyFont="1" applyFill="1" applyBorder="1" applyAlignment="1" applyProtection="1">
      <alignment vertical="center" textRotation="255"/>
    </xf>
    <xf numFmtId="0" fontId="0" fillId="0" borderId="167" xfId="0" applyFont="1" applyFill="1" applyBorder="1" applyAlignment="1" applyProtection="1">
      <alignment vertical="center" textRotation="255"/>
    </xf>
    <xf numFmtId="179" fontId="0" fillId="0" borderId="158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179" fontId="9" fillId="0" borderId="165" xfId="0" applyNumberFormat="1" applyFont="1" applyFill="1" applyBorder="1" applyAlignment="1" applyProtection="1">
      <alignment vertical="center"/>
    </xf>
    <xf numFmtId="179" fontId="9" fillId="0" borderId="17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16" fillId="4" borderId="185" xfId="0" applyFont="1" applyFill="1" applyBorder="1" applyAlignment="1" applyProtection="1">
      <alignment horizontal="center" vertical="center"/>
    </xf>
    <xf numFmtId="0" fontId="16" fillId="4" borderId="186" xfId="0" applyFont="1" applyFill="1" applyBorder="1" applyAlignment="1" applyProtection="1">
      <alignment horizontal="center" vertical="center"/>
    </xf>
    <xf numFmtId="0" fontId="7" fillId="0" borderId="142" xfId="0" applyFont="1" applyBorder="1" applyAlignment="1" applyProtection="1">
      <alignment horizontal="right" vertical="center"/>
    </xf>
    <xf numFmtId="0" fontId="16" fillId="4" borderId="161" xfId="0" applyFont="1" applyFill="1" applyBorder="1" applyAlignment="1" applyProtection="1">
      <alignment horizontal="center" vertical="center"/>
    </xf>
    <xf numFmtId="0" fontId="16" fillId="4" borderId="168" xfId="0" applyFont="1" applyFill="1" applyBorder="1" applyAlignment="1" applyProtection="1">
      <alignment horizontal="center" vertical="center"/>
    </xf>
    <xf numFmtId="0" fontId="15" fillId="4" borderId="184" xfId="0" applyFont="1" applyFill="1" applyBorder="1" applyAlignment="1" applyProtection="1">
      <alignment horizontal="center" vertical="center"/>
    </xf>
    <xf numFmtId="0" fontId="16" fillId="4" borderId="175" xfId="0" applyFont="1" applyFill="1" applyBorder="1" applyAlignment="1" applyProtection="1">
      <alignment horizontal="center" vertical="center"/>
    </xf>
    <xf numFmtId="0" fontId="16" fillId="4" borderId="141" xfId="0" applyFont="1" applyFill="1" applyBorder="1" applyAlignment="1" applyProtection="1">
      <alignment horizontal="center" vertical="center"/>
    </xf>
    <xf numFmtId="0" fontId="16" fillId="4" borderId="142" xfId="0" applyFont="1" applyFill="1" applyBorder="1" applyAlignment="1" applyProtection="1">
      <alignment horizontal="center" vertical="center"/>
    </xf>
    <xf numFmtId="0" fontId="16" fillId="4" borderId="160" xfId="0" applyFont="1" applyFill="1" applyBorder="1" applyAlignment="1" applyProtection="1">
      <alignment horizontal="center" vertical="center"/>
    </xf>
    <xf numFmtId="0" fontId="16" fillId="4" borderId="82" xfId="0" applyFont="1" applyFill="1" applyBorder="1" applyAlignment="1" applyProtection="1">
      <alignment horizontal="center" vertical="center"/>
    </xf>
    <xf numFmtId="0" fontId="16" fillId="4" borderId="84" xfId="0" applyFont="1" applyFill="1" applyBorder="1" applyAlignment="1" applyProtection="1">
      <alignment horizontal="center" vertical="center"/>
    </xf>
    <xf numFmtId="0" fontId="16" fillId="4" borderId="174" xfId="0" applyFont="1" applyFill="1" applyBorder="1" applyAlignment="1" applyProtection="1">
      <alignment horizontal="center" vertical="center"/>
    </xf>
    <xf numFmtId="0" fontId="0" fillId="0" borderId="70" xfId="0" applyFont="1" applyBorder="1" applyAlignment="1" applyProtection="1">
      <alignment horizontal="center" vertical="center" textRotation="255"/>
    </xf>
    <xf numFmtId="0" fontId="0" fillId="0" borderId="114" xfId="0" applyFont="1" applyBorder="1" applyAlignment="1" applyProtection="1">
      <alignment horizontal="center" vertical="center" textRotation="255"/>
    </xf>
    <xf numFmtId="0" fontId="0" fillId="0" borderId="50" xfId="0" applyFont="1" applyBorder="1" applyAlignment="1" applyProtection="1">
      <alignment horizontal="center" vertical="center" textRotation="255"/>
    </xf>
    <xf numFmtId="0" fontId="16" fillId="4" borderId="187" xfId="0" applyFont="1" applyFill="1" applyBorder="1" applyAlignment="1" applyProtection="1">
      <alignment horizontal="center" vertical="center"/>
    </xf>
    <xf numFmtId="0" fontId="16" fillId="4" borderId="188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0" fontId="0" fillId="0" borderId="167" xfId="0" applyFont="1" applyFill="1" applyBorder="1" applyAlignment="1" applyProtection="1">
      <alignment horizontal="center" vertical="center" textRotation="255" wrapText="1"/>
    </xf>
    <xf numFmtId="0" fontId="0" fillId="0" borderId="183" xfId="0" applyFont="1" applyFill="1" applyBorder="1" applyAlignment="1" applyProtection="1">
      <alignment horizontal="center" vertical="center" textRotation="255" wrapText="1"/>
    </xf>
    <xf numFmtId="0" fontId="0" fillId="0" borderId="183" xfId="0" applyFont="1" applyFill="1" applyBorder="1" applyAlignment="1" applyProtection="1">
      <alignment vertical="center" textRotation="255"/>
    </xf>
    <xf numFmtId="14" fontId="0" fillId="0" borderId="11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top"/>
    </xf>
    <xf numFmtId="0" fontId="0" fillId="0" borderId="189" xfId="0" applyFont="1" applyFill="1" applyBorder="1" applyAlignment="1" applyProtection="1">
      <alignment horizontal="center" vertical="center" textRotation="255"/>
    </xf>
    <xf numFmtId="0" fontId="0" fillId="0" borderId="167" xfId="0" applyFont="1" applyFill="1" applyBorder="1" applyAlignment="1" applyProtection="1">
      <alignment horizontal="center" vertical="center" textRotation="255"/>
    </xf>
    <xf numFmtId="0" fontId="0" fillId="0" borderId="72" xfId="0" applyFont="1" applyFill="1" applyBorder="1" applyAlignment="1" applyProtection="1">
      <alignment horizontal="center" vertical="center" textRotation="255"/>
    </xf>
    <xf numFmtId="41" fontId="4" fillId="0" borderId="232" xfId="0" applyNumberFormat="1" applyFont="1" applyBorder="1" applyAlignment="1" applyProtection="1">
      <alignment horizontal="center" vertical="center"/>
    </xf>
    <xf numFmtId="0" fontId="4" fillId="16" borderId="31" xfId="0" applyFont="1" applyFill="1" applyBorder="1" applyAlignment="1" applyProtection="1">
      <alignment horizontal="center" vertical="center"/>
    </xf>
    <xf numFmtId="0" fontId="4" fillId="16" borderId="15" xfId="0" applyFont="1" applyFill="1" applyBorder="1" applyAlignment="1" applyProtection="1">
      <alignment horizontal="center" vertical="center"/>
    </xf>
    <xf numFmtId="0" fontId="4" fillId="16" borderId="19" xfId="0" applyFont="1" applyFill="1" applyBorder="1" applyAlignment="1" applyProtection="1">
      <alignment horizontal="center" vertical="center"/>
    </xf>
    <xf numFmtId="0" fontId="7" fillId="0" borderId="189" xfId="0" applyFont="1" applyFill="1" applyBorder="1" applyAlignment="1" applyProtection="1">
      <alignment horizontal="center" vertical="center" textRotation="255" wrapText="1"/>
    </xf>
    <xf numFmtId="0" fontId="7" fillId="0" borderId="167" xfId="0" applyFont="1" applyFill="1" applyBorder="1" applyAlignment="1" applyProtection="1">
      <alignment horizontal="center" vertical="center" textRotation="255" wrapText="1"/>
    </xf>
    <xf numFmtId="0" fontId="7" fillId="0" borderId="183" xfId="0" applyFont="1" applyFill="1" applyBorder="1" applyAlignment="1" applyProtection="1">
      <alignment horizontal="center" vertical="center" textRotation="255" wrapText="1"/>
    </xf>
    <xf numFmtId="0" fontId="4" fillId="0" borderId="228" xfId="0" applyFont="1" applyBorder="1" applyAlignment="1" applyProtection="1">
      <alignment horizontal="center" vertical="center"/>
    </xf>
    <xf numFmtId="0" fontId="4" fillId="0" borderId="210" xfId="0" applyFont="1" applyBorder="1" applyAlignment="1" applyProtection="1">
      <alignment horizontal="center" vertical="center"/>
    </xf>
    <xf numFmtId="179" fontId="8" fillId="0" borderId="191" xfId="1" applyNumberFormat="1" applyFont="1" applyFill="1" applyBorder="1" applyAlignment="1" applyProtection="1">
      <alignment horizontal="right" vertical="center"/>
    </xf>
    <xf numFmtId="179" fontId="8" fillId="0" borderId="192" xfId="1" applyNumberFormat="1" applyFont="1" applyFill="1" applyBorder="1" applyAlignment="1" applyProtection="1">
      <alignment horizontal="right" vertical="center"/>
    </xf>
    <xf numFmtId="179" fontId="4" fillId="16" borderId="229" xfId="1" applyNumberFormat="1" applyFont="1" applyFill="1" applyBorder="1" applyAlignment="1" applyProtection="1">
      <alignment vertical="center"/>
    </xf>
    <xf numFmtId="179" fontId="4" fillId="16" borderId="230" xfId="1" applyNumberFormat="1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5" fillId="0" borderId="197" xfId="0" applyFont="1" applyFill="1" applyBorder="1" applyAlignment="1" applyProtection="1">
      <alignment horizontal="center" vertical="center"/>
    </xf>
    <xf numFmtId="0" fontId="5" fillId="0" borderId="198" xfId="0" applyFont="1" applyFill="1" applyBorder="1" applyAlignment="1" applyProtection="1">
      <alignment horizontal="center" vertical="center"/>
    </xf>
    <xf numFmtId="0" fontId="5" fillId="0" borderId="162" xfId="0" applyFont="1" applyFill="1" applyBorder="1" applyAlignment="1" applyProtection="1">
      <alignment horizontal="center" vertical="center"/>
    </xf>
    <xf numFmtId="0" fontId="4" fillId="0" borderId="141" xfId="0" applyFont="1" applyFill="1" applyBorder="1" applyAlignment="1" applyProtection="1">
      <alignment vertical="center"/>
    </xf>
    <xf numFmtId="0" fontId="4" fillId="0" borderId="160" xfId="0" applyFont="1" applyFill="1" applyBorder="1" applyAlignment="1" applyProtection="1">
      <alignment vertical="center"/>
    </xf>
    <xf numFmtId="0" fontId="4" fillId="16" borderId="203" xfId="0" applyFont="1" applyFill="1" applyBorder="1" applyAlignment="1" applyProtection="1">
      <alignment horizontal="center" vertical="center"/>
    </xf>
    <xf numFmtId="0" fontId="4" fillId="16" borderId="204" xfId="0" applyFont="1" applyFill="1" applyBorder="1" applyAlignment="1" applyProtection="1">
      <alignment horizontal="center" vertical="center"/>
    </xf>
    <xf numFmtId="0" fontId="4" fillId="16" borderId="205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10" fillId="4" borderId="165" xfId="0" applyFont="1" applyFill="1" applyBorder="1" applyAlignment="1" applyProtection="1">
      <alignment horizontal="distributed" vertical="center" justifyLastLine="1"/>
    </xf>
    <xf numFmtId="0" fontId="10" fillId="4" borderId="166" xfId="0" applyFont="1" applyFill="1" applyBorder="1" applyAlignment="1" applyProtection="1">
      <alignment horizontal="distributed" vertical="center" justifyLastLine="1"/>
    </xf>
    <xf numFmtId="0" fontId="10" fillId="4" borderId="171" xfId="0" applyFont="1" applyFill="1" applyBorder="1" applyAlignment="1" applyProtection="1">
      <alignment horizontal="distributed" vertical="center" justifyLastLine="1"/>
    </xf>
    <xf numFmtId="0" fontId="4" fillId="16" borderId="137" xfId="0" applyFont="1" applyFill="1" applyBorder="1" applyAlignment="1" applyProtection="1">
      <alignment horizontal="center" vertical="center"/>
    </xf>
    <xf numFmtId="0" fontId="4" fillId="16" borderId="136" xfId="0" applyFont="1" applyFill="1" applyBorder="1" applyAlignment="1" applyProtection="1">
      <alignment horizontal="center" vertical="center"/>
    </xf>
    <xf numFmtId="0" fontId="4" fillId="16" borderId="138" xfId="0" applyFont="1" applyFill="1" applyBorder="1" applyAlignment="1" applyProtection="1">
      <alignment horizontal="center" vertical="center"/>
    </xf>
    <xf numFmtId="0" fontId="4" fillId="16" borderId="37" xfId="0" applyFont="1" applyFill="1" applyBorder="1" applyAlignment="1" applyProtection="1">
      <alignment horizontal="center" vertical="center"/>
    </xf>
    <xf numFmtId="0" fontId="4" fillId="16" borderId="20" xfId="0" applyFont="1" applyFill="1" applyBorder="1" applyAlignment="1" applyProtection="1">
      <alignment horizontal="center" vertical="center"/>
    </xf>
    <xf numFmtId="0" fontId="4" fillId="16" borderId="68" xfId="0" applyFont="1" applyFill="1" applyBorder="1" applyAlignment="1" applyProtection="1">
      <alignment horizontal="center" vertical="center"/>
    </xf>
    <xf numFmtId="0" fontId="8" fillId="0" borderId="194" xfId="0" applyFont="1" applyFill="1" applyBorder="1" applyAlignment="1" applyProtection="1">
      <alignment horizontal="center" vertical="center"/>
    </xf>
    <xf numFmtId="0" fontId="8" fillId="0" borderId="195" xfId="0" applyFont="1" applyFill="1" applyBorder="1" applyAlignment="1" applyProtection="1">
      <alignment horizontal="center" vertical="center"/>
    </xf>
    <xf numFmtId="0" fontId="8" fillId="0" borderId="196" xfId="0" applyFont="1" applyFill="1" applyBorder="1" applyAlignment="1" applyProtection="1">
      <alignment horizontal="center" vertical="center"/>
    </xf>
    <xf numFmtId="0" fontId="4" fillId="0" borderId="189" xfId="0" applyFont="1" applyFill="1" applyBorder="1" applyAlignment="1" applyProtection="1">
      <alignment horizontal="center" vertical="center" textRotation="255" wrapText="1"/>
    </xf>
    <xf numFmtId="0" fontId="4" fillId="0" borderId="167" xfId="0" applyFont="1" applyFill="1" applyBorder="1" applyAlignment="1" applyProtection="1">
      <alignment horizontal="center" vertical="center" textRotation="255" wrapText="1"/>
    </xf>
    <xf numFmtId="0" fontId="4" fillId="0" borderId="183" xfId="0" applyFont="1" applyFill="1" applyBorder="1" applyAlignment="1" applyProtection="1">
      <alignment horizontal="center" vertical="center" textRotation="255" wrapText="1"/>
    </xf>
    <xf numFmtId="0" fontId="13" fillId="0" borderId="228" xfId="0" applyFont="1" applyBorder="1" applyAlignment="1" applyProtection="1">
      <alignment horizontal="center" vertical="center" textRotation="255"/>
    </xf>
    <xf numFmtId="0" fontId="13" fillId="0" borderId="114" xfId="0" applyFont="1" applyBorder="1" applyAlignment="1" applyProtection="1">
      <alignment horizontal="center" vertical="center" textRotation="255"/>
    </xf>
    <xf numFmtId="0" fontId="13" fillId="0" borderId="210" xfId="0" applyFont="1" applyBorder="1" applyAlignment="1" applyProtection="1">
      <alignment horizontal="center" vertical="center" textRotation="255"/>
    </xf>
    <xf numFmtId="179" fontId="8" fillId="0" borderId="202" xfId="1" applyNumberFormat="1" applyFont="1" applyFill="1" applyBorder="1" applyAlignment="1" applyProtection="1">
      <alignment horizontal="right" vertical="center"/>
    </xf>
    <xf numFmtId="185" fontId="4" fillId="0" borderId="114" xfId="0" applyNumberFormat="1" applyFont="1" applyFill="1" applyBorder="1" applyAlignment="1" applyProtection="1">
      <alignment horizontal="center" vertical="center"/>
    </xf>
    <xf numFmtId="185" fontId="0" fillId="0" borderId="176" xfId="0" applyNumberFormat="1" applyFill="1" applyBorder="1" applyAlignment="1" applyProtection="1">
      <alignment horizontal="center" vertical="center"/>
    </xf>
    <xf numFmtId="0" fontId="4" fillId="0" borderId="144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179" fontId="4" fillId="16" borderId="231" xfId="1" applyNumberFormat="1" applyFont="1" applyFill="1" applyBorder="1" applyAlignment="1" applyProtection="1">
      <alignment vertical="center"/>
    </xf>
    <xf numFmtId="185" fontId="0" fillId="0" borderId="114" xfId="0" applyNumberFormat="1" applyFill="1" applyBorder="1" applyAlignment="1" applyProtection="1">
      <alignment horizontal="center" vertical="center"/>
    </xf>
    <xf numFmtId="179" fontId="8" fillId="0" borderId="193" xfId="1" applyNumberFormat="1" applyFont="1" applyFill="1" applyBorder="1" applyAlignment="1" applyProtection="1">
      <alignment horizontal="right" vertical="center"/>
    </xf>
    <xf numFmtId="0" fontId="5" fillId="0" borderId="163" xfId="0" applyFont="1" applyFill="1" applyBorder="1" applyAlignment="1" applyProtection="1">
      <alignment horizontal="center" vertical="center"/>
    </xf>
    <xf numFmtId="0" fontId="4" fillId="0" borderId="165" xfId="0" applyFont="1" applyBorder="1" applyAlignment="1" applyProtection="1">
      <alignment horizontal="center" vertical="center"/>
    </xf>
    <xf numFmtId="0" fontId="4" fillId="0" borderId="166" xfId="0" applyFont="1" applyBorder="1" applyAlignment="1" applyProtection="1">
      <alignment horizontal="center" vertical="center"/>
    </xf>
    <xf numFmtId="0" fontId="4" fillId="0" borderId="171" xfId="0" applyFont="1" applyBorder="1" applyAlignment="1" applyProtection="1">
      <alignment horizontal="center" vertical="center"/>
    </xf>
    <xf numFmtId="0" fontId="4" fillId="0" borderId="199" xfId="0" applyFont="1" applyBorder="1" applyAlignment="1" applyProtection="1">
      <alignment vertical="center" shrinkToFit="1"/>
    </xf>
    <xf numFmtId="0" fontId="0" fillId="0" borderId="200" xfId="0" applyBorder="1" applyAlignment="1" applyProtection="1">
      <alignment vertical="center" shrinkToFit="1"/>
    </xf>
    <xf numFmtId="0" fontId="0" fillId="0" borderId="201" xfId="0" applyBorder="1" applyAlignment="1" applyProtection="1">
      <alignment vertical="center" shrinkToFit="1"/>
    </xf>
    <xf numFmtId="0" fontId="10" fillId="11" borderId="184" xfId="0" applyFont="1" applyFill="1" applyBorder="1" applyAlignment="1" applyProtection="1">
      <alignment horizontal="center" vertical="center" wrapText="1"/>
    </xf>
    <xf numFmtId="0" fontId="10" fillId="11" borderId="114" xfId="0" applyFont="1" applyFill="1" applyBorder="1" applyAlignment="1" applyProtection="1">
      <alignment horizontal="center" vertical="center" wrapText="1"/>
    </xf>
    <xf numFmtId="0" fontId="10" fillId="11" borderId="219" xfId="0" applyFont="1" applyFill="1" applyBorder="1" applyAlignment="1" applyProtection="1">
      <alignment horizontal="center" vertical="center" wrapText="1"/>
    </xf>
    <xf numFmtId="0" fontId="17" fillId="11" borderId="161" xfId="0" applyFont="1" applyFill="1" applyBorder="1" applyAlignment="1" applyProtection="1">
      <alignment horizontal="center" vertical="center" wrapText="1"/>
    </xf>
    <xf numFmtId="0" fontId="17" fillId="11" borderId="73" xfId="0" applyFont="1" applyFill="1" applyBorder="1" applyAlignment="1" applyProtection="1">
      <alignment horizontal="center" vertical="center" wrapText="1"/>
    </xf>
    <xf numFmtId="0" fontId="10" fillId="11" borderId="144" xfId="0" applyFont="1" applyFill="1" applyBorder="1" applyAlignment="1" applyProtection="1">
      <alignment horizontal="center" vertical="center"/>
    </xf>
    <xf numFmtId="0" fontId="10" fillId="11" borderId="126" xfId="0" applyFont="1" applyFill="1" applyBorder="1" applyAlignment="1" applyProtection="1">
      <alignment horizontal="center" vertical="center"/>
    </xf>
    <xf numFmtId="0" fontId="10" fillId="11" borderId="160" xfId="0" applyFont="1" applyFill="1" applyBorder="1" applyAlignment="1" applyProtection="1">
      <alignment horizontal="center" vertical="center"/>
    </xf>
    <xf numFmtId="0" fontId="10" fillId="11" borderId="269" xfId="0" applyFont="1" applyFill="1" applyBorder="1" applyAlignment="1" applyProtection="1">
      <alignment horizontal="center" vertical="center"/>
    </xf>
    <xf numFmtId="0" fontId="10" fillId="11" borderId="184" xfId="0" applyFont="1" applyFill="1" applyBorder="1" applyAlignment="1" applyProtection="1">
      <alignment horizontal="center" vertical="center"/>
    </xf>
    <xf numFmtId="0" fontId="10" fillId="11" borderId="219" xfId="0" applyFont="1" applyFill="1" applyBorder="1" applyAlignment="1" applyProtection="1">
      <alignment horizontal="center" vertical="center"/>
    </xf>
    <xf numFmtId="0" fontId="10" fillId="11" borderId="161" xfId="0" applyFont="1" applyFill="1" applyBorder="1" applyAlignment="1" applyProtection="1">
      <alignment horizontal="center" vertical="center" wrapText="1"/>
    </xf>
    <xf numFmtId="0" fontId="10" fillId="11" borderId="176" xfId="0" applyFont="1" applyFill="1" applyBorder="1" applyAlignment="1" applyProtection="1">
      <alignment horizontal="center" vertical="center" wrapText="1"/>
    </xf>
    <xf numFmtId="0" fontId="10" fillId="11" borderId="73" xfId="0" applyFont="1" applyFill="1" applyBorder="1" applyAlignment="1" applyProtection="1">
      <alignment horizontal="center" vertical="center" wrapText="1"/>
    </xf>
    <xf numFmtId="0" fontId="10" fillId="11" borderId="21" xfId="0" applyFont="1" applyFill="1" applyBorder="1" applyAlignment="1" applyProtection="1">
      <alignment horizontal="center" vertical="center"/>
    </xf>
    <xf numFmtId="0" fontId="10" fillId="11" borderId="156" xfId="0" applyFont="1" applyFill="1" applyBorder="1" applyAlignment="1" applyProtection="1">
      <alignment horizontal="center" vertical="center"/>
    </xf>
    <xf numFmtId="0" fontId="0" fillId="11" borderId="156" xfId="0" applyFill="1" applyBorder="1" applyAlignment="1">
      <alignment horizontal="center" vertical="center"/>
    </xf>
    <xf numFmtId="0" fontId="10" fillId="11" borderId="162" xfId="0" applyFont="1" applyFill="1" applyBorder="1" applyAlignment="1" applyProtection="1">
      <alignment horizontal="center" vertical="center"/>
    </xf>
    <xf numFmtId="0" fontId="0" fillId="11" borderId="163" xfId="0" applyFill="1" applyBorder="1" applyAlignment="1">
      <alignment horizontal="center" vertical="center"/>
    </xf>
    <xf numFmtId="0" fontId="4" fillId="0" borderId="15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17" fillId="11" borderId="184" xfId="0" applyFont="1" applyFill="1" applyBorder="1" applyAlignment="1" applyProtection="1">
      <alignment horizontal="center" vertical="center" wrapText="1"/>
    </xf>
    <xf numFmtId="0" fontId="17" fillId="11" borderId="114" xfId="0" applyFont="1" applyFill="1" applyBorder="1" applyAlignment="1" applyProtection="1">
      <alignment horizontal="center" vertical="center" wrapText="1"/>
    </xf>
    <xf numFmtId="0" fontId="17" fillId="11" borderId="219" xfId="0" applyFont="1" applyFill="1" applyBorder="1" applyAlignment="1" applyProtection="1">
      <alignment horizontal="center" vertical="center" wrapText="1"/>
    </xf>
    <xf numFmtId="0" fontId="4" fillId="11" borderId="189" xfId="0" applyFont="1" applyFill="1" applyBorder="1" applyAlignment="1" applyProtection="1">
      <alignment vertical="center"/>
    </xf>
    <xf numFmtId="0" fontId="4" fillId="11" borderId="167" xfId="0" applyFont="1" applyFill="1" applyBorder="1" applyAlignment="1" applyProtection="1">
      <alignment vertical="center"/>
    </xf>
    <xf numFmtId="0" fontId="4" fillId="11" borderId="72" xfId="0" applyFont="1" applyFill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_【キャッシュフロー用】受入経費試算4-1" xfId="2"/>
  </cellStyles>
  <dxfs count="30">
    <dxf>
      <font>
        <color rgb="FFFFCC99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343F7"/>
      <color rgb="FF666699"/>
      <color rgb="FF339966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3" dropStyle="combo" dx="15" fmlaLink="'9D,A9D計算シート'!$D$7" fmlaRange="'9D,A9D計算シート'!$C$48:$C$55" noThreeD="1" sel="1" val="0"/>
</file>

<file path=xl/ctrlProps/ctrlProp2.xml><?xml version="1.0" encoding="utf-8"?>
<formControlPr xmlns="http://schemas.microsoft.com/office/spreadsheetml/2009/9/main" objectType="Drop" dropLines="3" dropStyle="combo" dx="15" fmlaLink="'9D,A9D計算シート'!$B$26" fmlaRange="'9D,A9D計算シート'!$C$28:$C$30" noThreeD="1" sel="1" val="0"/>
</file>

<file path=xl/ctrlProps/ctrlProp3.xml><?xml version="1.0" encoding="utf-8"?>
<formControlPr xmlns="http://schemas.microsoft.com/office/spreadsheetml/2009/9/main" objectType="Drop" dropLines="6" dropStyle="combo" dx="15" fmlaLink="'9D,A9D計算シート'!$B$35" fmlaRange="'9D,A9D計算シート'!$C$37:$C$42" noThreeD="1" sel="6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12</xdr:row>
          <xdr:rowOff>47625</xdr:rowOff>
        </xdr:from>
        <xdr:to>
          <xdr:col>8</xdr:col>
          <xdr:colOff>0</xdr:colOff>
          <xdr:row>13</xdr:row>
          <xdr:rowOff>47625</xdr:rowOff>
        </xdr:to>
        <xdr:sp macro="" textlink="">
          <xdr:nvSpPr>
            <xdr:cNvPr id="2130" name="Drop Down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7</xdr:row>
          <xdr:rowOff>123825</xdr:rowOff>
        </xdr:from>
        <xdr:to>
          <xdr:col>12</xdr:col>
          <xdr:colOff>47625</xdr:colOff>
          <xdr:row>8</xdr:row>
          <xdr:rowOff>123825</xdr:rowOff>
        </xdr:to>
        <xdr:sp macro="" textlink="">
          <xdr:nvSpPr>
            <xdr:cNvPr id="2233" name="Drop Down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9525</xdr:rowOff>
        </xdr:from>
        <xdr:to>
          <xdr:col>12</xdr:col>
          <xdr:colOff>38100</xdr:colOff>
          <xdr:row>7</xdr:row>
          <xdr:rowOff>19050</xdr:rowOff>
        </xdr:to>
        <xdr:sp macro="" textlink="">
          <xdr:nvSpPr>
            <xdr:cNvPr id="2569" name="Drop Down 521" hidden="1">
              <a:extLst>
                <a:ext uri="{63B3BB69-23CF-44E3-9099-C40C66FF867C}">
                  <a14:compatExt spid="_x0000_s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171450</xdr:colOff>
      <xdr:row>35</xdr:row>
      <xdr:rowOff>195262</xdr:rowOff>
    </xdr:from>
    <xdr:to>
      <xdr:col>14</xdr:col>
      <xdr:colOff>108450</xdr:colOff>
      <xdr:row>37</xdr:row>
      <xdr:rowOff>208162</xdr:rowOff>
    </xdr:to>
    <xdr:sp macro="" textlink="">
      <xdr:nvSpPr>
        <xdr:cNvPr id="30" name="AutoShape 60"/>
        <xdr:cNvSpPr>
          <a:spLocks noChangeArrowheads="1"/>
        </xdr:cNvSpPr>
      </xdr:nvSpPr>
      <xdr:spPr bwMode="auto">
        <a:xfrm>
          <a:off x="7458075" y="8398668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57151</xdr:colOff>
      <xdr:row>37</xdr:row>
      <xdr:rowOff>190050</xdr:rowOff>
    </xdr:from>
    <xdr:to>
      <xdr:col>13</xdr:col>
      <xdr:colOff>178595</xdr:colOff>
      <xdr:row>42</xdr:row>
      <xdr:rowOff>114300</xdr:rowOff>
    </xdr:to>
    <xdr:sp macro="" textlink="">
      <xdr:nvSpPr>
        <xdr:cNvPr id="33" name="Freeform 209"/>
        <xdr:cNvSpPr>
          <a:spLocks/>
        </xdr:cNvSpPr>
      </xdr:nvSpPr>
      <xdr:spPr bwMode="auto">
        <a:xfrm>
          <a:off x="6200776" y="8869706"/>
          <a:ext cx="1835944" cy="1067250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573202</xdr:colOff>
      <xdr:row>16</xdr:row>
      <xdr:rowOff>61912</xdr:rowOff>
    </xdr:from>
    <xdr:to>
      <xdr:col>13</xdr:col>
      <xdr:colOff>180976</xdr:colOff>
      <xdr:row>16</xdr:row>
      <xdr:rowOff>61912</xdr:rowOff>
    </xdr:to>
    <xdr:sp macro="" textlink="">
      <xdr:nvSpPr>
        <xdr:cNvPr id="34" name="Line 515"/>
        <xdr:cNvSpPr>
          <a:spLocks noChangeShapeType="1"/>
        </xdr:cNvSpPr>
      </xdr:nvSpPr>
      <xdr:spPr bwMode="auto">
        <a:xfrm>
          <a:off x="4907077" y="3883818"/>
          <a:ext cx="34653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104776</xdr:rowOff>
    </xdr:from>
    <xdr:to>
      <xdr:col>14</xdr:col>
      <xdr:colOff>9524</xdr:colOff>
      <xdr:row>17</xdr:row>
      <xdr:rowOff>226220</xdr:rowOff>
    </xdr:to>
    <xdr:sp macro="" textlink="">
      <xdr:nvSpPr>
        <xdr:cNvPr id="36" name="正方形/長方形 35"/>
        <xdr:cNvSpPr/>
      </xdr:nvSpPr>
      <xdr:spPr bwMode="auto">
        <a:xfrm>
          <a:off x="9525" y="831057"/>
          <a:ext cx="8929687" cy="3455194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428624</xdr:colOff>
      <xdr:row>32</xdr:row>
      <xdr:rowOff>197643</xdr:rowOff>
    </xdr:from>
    <xdr:to>
      <xdr:col>23</xdr:col>
      <xdr:colOff>440530</xdr:colOff>
      <xdr:row>44</xdr:row>
      <xdr:rowOff>11907</xdr:rowOff>
    </xdr:to>
    <xdr:sp macro="" textlink="">
      <xdr:nvSpPr>
        <xdr:cNvPr id="26" name="右矢印 25"/>
        <xdr:cNvSpPr/>
      </xdr:nvSpPr>
      <xdr:spPr>
        <a:xfrm>
          <a:off x="14704218" y="7686674"/>
          <a:ext cx="1785937" cy="2624139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297652</xdr:colOff>
      <xdr:row>44</xdr:row>
      <xdr:rowOff>0</xdr:rowOff>
    </xdr:from>
    <xdr:to>
      <xdr:col>23</xdr:col>
      <xdr:colOff>392905</xdr:colOff>
      <xdr:row>50</xdr:row>
      <xdr:rowOff>0</xdr:rowOff>
    </xdr:to>
    <xdr:sp macro="" textlink="">
      <xdr:nvSpPr>
        <xdr:cNvPr id="37" name="右矢印 36"/>
        <xdr:cNvSpPr/>
      </xdr:nvSpPr>
      <xdr:spPr>
        <a:xfrm rot="10800000">
          <a:off x="14573246" y="10298906"/>
          <a:ext cx="1869284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55494</xdr:colOff>
      <xdr:row>29</xdr:row>
      <xdr:rowOff>135825</xdr:rowOff>
    </xdr:from>
    <xdr:ext cx="385555" cy="2052000"/>
    <xdr:sp macro="" textlink="">
      <xdr:nvSpPr>
        <xdr:cNvPr id="39" name="テキスト ボックス 38"/>
        <xdr:cNvSpPr txBox="1"/>
      </xdr:nvSpPr>
      <xdr:spPr>
        <a:xfrm>
          <a:off x="9794807" y="6910481"/>
          <a:ext cx="385555" cy="20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twoCellAnchor editAs="absolute">
    <xdr:from>
      <xdr:col>25</xdr:col>
      <xdr:colOff>193163</xdr:colOff>
      <xdr:row>46</xdr:row>
      <xdr:rowOff>2378</xdr:rowOff>
    </xdr:from>
    <xdr:to>
      <xdr:col>25</xdr:col>
      <xdr:colOff>578718</xdr:colOff>
      <xdr:row>49</xdr:row>
      <xdr:rowOff>222047</xdr:rowOff>
    </xdr:to>
    <xdr:sp macro="" textlink="">
      <xdr:nvSpPr>
        <xdr:cNvPr id="24" name="テキスト ボックス 23"/>
        <xdr:cNvSpPr txBox="1"/>
      </xdr:nvSpPr>
      <xdr:spPr>
        <a:xfrm>
          <a:off x="18290663" y="10777534"/>
          <a:ext cx="385555" cy="93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oneCellAnchor>
    <xdr:from>
      <xdr:col>25</xdr:col>
      <xdr:colOff>208463</xdr:colOff>
      <xdr:row>50</xdr:row>
      <xdr:rowOff>0</xdr:rowOff>
    </xdr:from>
    <xdr:ext cx="386851" cy="275717"/>
    <xdr:sp macro="" textlink="">
      <xdr:nvSpPr>
        <xdr:cNvPr id="41" name="テキスト ボックス 40"/>
        <xdr:cNvSpPr txBox="1"/>
      </xdr:nvSpPr>
      <xdr:spPr>
        <a:xfrm>
          <a:off x="18305963" y="11727656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oneCell">
    <xdr:from>
      <xdr:col>15</xdr:col>
      <xdr:colOff>55493</xdr:colOff>
      <xdr:row>40</xdr:row>
      <xdr:rowOff>13074</xdr:rowOff>
    </xdr:from>
    <xdr:to>
      <xdr:col>15</xdr:col>
      <xdr:colOff>484118</xdr:colOff>
      <xdr:row>47</xdr:row>
      <xdr:rowOff>186531</xdr:rowOff>
    </xdr:to>
    <xdr:sp macro="" textlink="">
      <xdr:nvSpPr>
        <xdr:cNvPr id="43" name="テキスト ボックス 42"/>
        <xdr:cNvSpPr txBox="1"/>
      </xdr:nvSpPr>
      <xdr:spPr>
        <a:xfrm>
          <a:off x="10044837" y="9121355"/>
          <a:ext cx="428625" cy="1840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17</xdr:col>
      <xdr:colOff>333375</xdr:colOff>
      <xdr:row>39</xdr:row>
      <xdr:rowOff>0</xdr:rowOff>
    </xdr:to>
    <xdr:cxnSp macro="">
      <xdr:nvCxnSpPr>
        <xdr:cNvPr id="44" name="直線コネクタ 43"/>
        <xdr:cNvCxnSpPr/>
      </xdr:nvCxnSpPr>
      <xdr:spPr bwMode="auto">
        <a:xfrm>
          <a:off x="11715750" y="9108281"/>
          <a:ext cx="33337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31750</xdr:colOff>
      <xdr:row>29</xdr:row>
      <xdr:rowOff>0</xdr:rowOff>
    </xdr:from>
    <xdr:to>
      <xdr:col>18</xdr:col>
      <xdr:colOff>31750</xdr:colOff>
      <xdr:row>29</xdr:row>
      <xdr:rowOff>0</xdr:rowOff>
    </xdr:to>
    <xdr:cxnSp macro="">
      <xdr:nvCxnSpPr>
        <xdr:cNvPr id="45" name="直線コネクタ 44"/>
        <xdr:cNvCxnSpPr/>
      </xdr:nvCxnSpPr>
      <xdr:spPr bwMode="auto">
        <a:xfrm>
          <a:off x="11518900" y="1438275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10583</xdr:colOff>
      <xdr:row>32</xdr:row>
      <xdr:rowOff>10583</xdr:rowOff>
    </xdr:from>
    <xdr:to>
      <xdr:col>24</xdr:col>
      <xdr:colOff>0</xdr:colOff>
      <xdr:row>32</xdr:row>
      <xdr:rowOff>21167</xdr:rowOff>
    </xdr:to>
    <xdr:cxnSp macro="">
      <xdr:nvCxnSpPr>
        <xdr:cNvPr id="46" name="直線コネクタ 45"/>
        <xdr:cNvCxnSpPr/>
      </xdr:nvCxnSpPr>
      <xdr:spPr bwMode="auto">
        <a:xfrm>
          <a:off x="14145683" y="2163233"/>
          <a:ext cx="2218267" cy="105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416719</xdr:colOff>
      <xdr:row>39</xdr:row>
      <xdr:rowOff>11907</xdr:rowOff>
    </xdr:to>
    <xdr:cxnSp macro="">
      <xdr:nvCxnSpPr>
        <xdr:cNvPr id="47" name="直線コネクタ 46"/>
        <xdr:cNvCxnSpPr/>
      </xdr:nvCxnSpPr>
      <xdr:spPr bwMode="auto">
        <a:xfrm>
          <a:off x="14275594" y="9108281"/>
          <a:ext cx="416719" cy="11907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404813</xdr:colOff>
      <xdr:row>39</xdr:row>
      <xdr:rowOff>11907</xdr:rowOff>
    </xdr:from>
    <xdr:to>
      <xdr:col>24</xdr:col>
      <xdr:colOff>23814</xdr:colOff>
      <xdr:row>39</xdr:row>
      <xdr:rowOff>11908</xdr:rowOff>
    </xdr:to>
    <xdr:cxnSp macro="">
      <xdr:nvCxnSpPr>
        <xdr:cNvPr id="48" name="直線コネクタ 47"/>
        <xdr:cNvCxnSpPr/>
      </xdr:nvCxnSpPr>
      <xdr:spPr bwMode="auto">
        <a:xfrm flipH="1" flipV="1">
          <a:off x="16454438" y="9120188"/>
          <a:ext cx="428626" cy="1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455083</xdr:colOff>
      <xdr:row>29</xdr:row>
      <xdr:rowOff>7500</xdr:rowOff>
    </xdr:from>
    <xdr:to>
      <xdr:col>15</xdr:col>
      <xdr:colOff>671083</xdr:colOff>
      <xdr:row>38</xdr:row>
      <xdr:rowOff>173550</xdr:rowOff>
    </xdr:to>
    <xdr:sp macro="" textlink="">
      <xdr:nvSpPr>
        <xdr:cNvPr id="38" name="左中かっこ 37"/>
        <xdr:cNvSpPr/>
      </xdr:nvSpPr>
      <xdr:spPr bwMode="auto">
        <a:xfrm>
          <a:off x="10056283" y="1445775"/>
          <a:ext cx="216000" cy="230917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45722</xdr:colOff>
      <xdr:row>44</xdr:row>
      <xdr:rowOff>209549</xdr:rowOff>
    </xdr:from>
    <xdr:to>
      <xdr:col>25</xdr:col>
      <xdr:colOff>261722</xdr:colOff>
      <xdr:row>51</xdr:row>
      <xdr:rowOff>2699</xdr:rowOff>
    </xdr:to>
    <xdr:sp macro="" textlink="">
      <xdr:nvSpPr>
        <xdr:cNvPr id="40" name="左中かっこ 39"/>
        <xdr:cNvSpPr/>
      </xdr:nvSpPr>
      <xdr:spPr bwMode="auto">
        <a:xfrm flipH="1">
          <a:off x="17571722" y="4981574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39</xdr:row>
      <xdr:rowOff>43500</xdr:rowOff>
    </xdr:from>
    <xdr:to>
      <xdr:col>15</xdr:col>
      <xdr:colOff>691302</xdr:colOff>
      <xdr:row>49</xdr:row>
      <xdr:rowOff>0</xdr:rowOff>
    </xdr:to>
    <xdr:sp macro="" textlink="">
      <xdr:nvSpPr>
        <xdr:cNvPr id="42" name="左中かっこ 41"/>
        <xdr:cNvSpPr/>
      </xdr:nvSpPr>
      <xdr:spPr bwMode="auto">
        <a:xfrm>
          <a:off x="10444427" y="8937469"/>
          <a:ext cx="236219" cy="2313937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148931</xdr:colOff>
      <xdr:row>27</xdr:row>
      <xdr:rowOff>214315</xdr:rowOff>
    </xdr:from>
    <xdr:ext cx="386851" cy="275717"/>
    <xdr:sp macro="" textlink="">
      <xdr:nvSpPr>
        <xdr:cNvPr id="49" name="テキスト ボックス 48"/>
        <xdr:cNvSpPr txBox="1"/>
      </xdr:nvSpPr>
      <xdr:spPr>
        <a:xfrm>
          <a:off x="13460119" y="6512721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922837</xdr:colOff>
      <xdr:row>30</xdr:row>
      <xdr:rowOff>202409</xdr:rowOff>
    </xdr:from>
    <xdr:ext cx="386851" cy="275717"/>
    <xdr:sp macro="" textlink="">
      <xdr:nvSpPr>
        <xdr:cNvPr id="50" name="テキスト ボックス 49"/>
        <xdr:cNvSpPr txBox="1"/>
      </xdr:nvSpPr>
      <xdr:spPr>
        <a:xfrm>
          <a:off x="14234025" y="7215190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24</xdr:col>
      <xdr:colOff>851400</xdr:colOff>
      <xdr:row>43</xdr:row>
      <xdr:rowOff>190503</xdr:rowOff>
    </xdr:from>
    <xdr:ext cx="386851" cy="275717"/>
    <xdr:sp macro="" textlink="">
      <xdr:nvSpPr>
        <xdr:cNvPr id="51" name="テキスト ボックス 50"/>
        <xdr:cNvSpPr txBox="1"/>
      </xdr:nvSpPr>
      <xdr:spPr>
        <a:xfrm>
          <a:off x="17782088" y="10251284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47623</xdr:colOff>
      <xdr:row>1</xdr:row>
      <xdr:rowOff>226219</xdr:rowOff>
    </xdr:from>
    <xdr:to>
      <xdr:col>20</xdr:col>
      <xdr:colOff>130968</xdr:colOff>
      <xdr:row>3</xdr:row>
      <xdr:rowOff>235744</xdr:rowOff>
    </xdr:to>
    <xdr:sp macro="" textlink="">
      <xdr:nvSpPr>
        <xdr:cNvPr id="6" name="Text Box 222"/>
        <xdr:cNvSpPr txBox="1">
          <a:spLocks noChangeArrowheads="1"/>
        </xdr:cNvSpPr>
      </xdr:nvSpPr>
      <xdr:spPr bwMode="auto">
        <a:xfrm>
          <a:off x="7215186" y="488157"/>
          <a:ext cx="5548313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7" name="Group 289"/>
        <xdr:cNvGrpSpPr>
          <a:grpSpLocks/>
        </xdr:cNvGrpSpPr>
      </xdr:nvGrpSpPr>
      <xdr:grpSpPr bwMode="auto">
        <a:xfrm>
          <a:off x="2733685" y="542925"/>
          <a:ext cx="4314838" cy="395288"/>
          <a:chOff x="311" y="40"/>
          <a:chExt cx="415" cy="32"/>
        </a:xfrm>
      </xdr:grpSpPr>
      <xdr:sp macro="" textlink="">
        <xdr:nvSpPr>
          <xdr:cNvPr id="8" name="Freeform 290"/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" name="Freeform 291"/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65"/>
  <sheetViews>
    <sheetView showGridLines="0" tabSelected="1" view="pageBreakPreview" zoomScale="80" zoomScaleNormal="80" zoomScaleSheetLayoutView="80" workbookViewId="0"/>
  </sheetViews>
  <sheetFormatPr defaultRowHeight="13.5" customHeight="1" x14ac:dyDescent="0.15"/>
  <cols>
    <col min="1" max="2" width="5.625" style="189" customWidth="1"/>
    <col min="3" max="3" width="6" style="189" customWidth="1"/>
    <col min="4" max="4" width="3.125" style="189" customWidth="1"/>
    <col min="5" max="5" width="6.625" style="189" customWidth="1"/>
    <col min="6" max="6" width="8.625" style="189" customWidth="1"/>
    <col min="7" max="7" width="12.75" style="189" customWidth="1"/>
    <col min="8" max="9" width="8.625" style="189" customWidth="1"/>
    <col min="10" max="10" width="15.125" style="189" customWidth="1"/>
    <col min="11" max="11" width="8.625" style="189" customWidth="1"/>
    <col min="12" max="12" width="9.625" style="189" customWidth="1"/>
    <col min="13" max="13" width="8.625" style="189" customWidth="1"/>
    <col min="14" max="14" width="9.625" style="189" customWidth="1"/>
    <col min="15" max="15" width="10.625" style="190" customWidth="1"/>
    <col min="16" max="16" width="10.25" style="190" customWidth="1"/>
    <col min="17" max="17" width="15.625" style="254" customWidth="1"/>
    <col min="18" max="18" width="4.75" style="254" customWidth="1"/>
    <col min="19" max="19" width="10.625" style="254" customWidth="1"/>
    <col min="20" max="20" width="5.625" style="254" customWidth="1"/>
    <col min="21" max="21" width="12.625" style="254" customWidth="1"/>
    <col min="22" max="22" width="10.625" style="254" customWidth="1"/>
    <col min="23" max="23" width="13.625" style="254" customWidth="1"/>
    <col min="24" max="24" width="10.625" style="254" customWidth="1"/>
    <col min="25" max="25" width="15.25" style="254" customWidth="1"/>
    <col min="26" max="26" width="12.625" style="254" customWidth="1"/>
    <col min="27" max="27" width="4.5" style="189" customWidth="1"/>
    <col min="28" max="16384" width="9" style="189"/>
  </cols>
  <sheetData>
    <row r="1" spans="1:26" ht="20.100000000000001" customHeight="1" x14ac:dyDescent="0.15">
      <c r="A1" s="188" t="s">
        <v>249</v>
      </c>
      <c r="Q1" s="189"/>
      <c r="R1" s="189"/>
      <c r="S1" s="189"/>
      <c r="T1" s="189"/>
      <c r="U1" s="189"/>
      <c r="V1" s="189"/>
      <c r="W1" s="189"/>
      <c r="X1" s="189"/>
      <c r="Y1" s="189"/>
      <c r="Z1" s="189"/>
    </row>
    <row r="2" spans="1:26" ht="18.75" customHeight="1" x14ac:dyDescent="0.15"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1:26" ht="18.75" customHeight="1" x14ac:dyDescent="0.15">
      <c r="A3" s="188" t="s">
        <v>78</v>
      </c>
      <c r="E3" s="191"/>
      <c r="F3" s="192" t="s">
        <v>237</v>
      </c>
      <c r="G3" s="183" t="str">
        <f>"("&amp;'9D,A9D計算シート'!B2&amp;")"</f>
        <v>(9D,A9D)</v>
      </c>
      <c r="L3" s="193" t="s">
        <v>76</v>
      </c>
      <c r="M3" s="647">
        <f ca="1">TODAY()</f>
        <v>44019</v>
      </c>
      <c r="N3" s="647"/>
      <c r="Q3" s="188" t="s">
        <v>205</v>
      </c>
      <c r="R3" s="189"/>
      <c r="S3" s="189"/>
      <c r="T3" s="189"/>
      <c r="U3" s="189"/>
      <c r="V3" s="189"/>
      <c r="W3" s="189"/>
      <c r="X3" s="189"/>
      <c r="Y3" s="189"/>
      <c r="Z3" s="189"/>
    </row>
    <row r="4" spans="1:26" ht="18.75" customHeight="1" x14ac:dyDescent="0.1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646"/>
      <c r="N4" s="646"/>
      <c r="O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18.75" customHeight="1" x14ac:dyDescent="0.15">
      <c r="A5" s="196" t="s">
        <v>168</v>
      </c>
      <c r="B5" s="195" t="s">
        <v>167</v>
      </c>
      <c r="C5" s="195"/>
      <c r="D5" s="195"/>
      <c r="F5" s="698"/>
      <c r="G5" s="698"/>
      <c r="H5" s="698"/>
      <c r="I5" s="698"/>
      <c r="N5" s="195"/>
      <c r="Q5" s="197"/>
      <c r="R5" s="198" t="s">
        <v>191</v>
      </c>
      <c r="S5" s="199"/>
      <c r="T5" s="198" t="s">
        <v>223</v>
      </c>
      <c r="U5" s="200"/>
      <c r="V5" s="199"/>
      <c r="W5" s="201" t="s">
        <v>192</v>
      </c>
      <c r="X5" s="198" t="s">
        <v>213</v>
      </c>
      <c r="Y5" s="200"/>
      <c r="Z5" s="199"/>
    </row>
    <row r="6" spans="1:26" ht="18.75" customHeight="1" x14ac:dyDescent="0.15">
      <c r="A6" s="196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Q6" s="202" t="s">
        <v>202</v>
      </c>
      <c r="R6" s="203" t="s">
        <v>221</v>
      </c>
      <c r="S6" s="204"/>
      <c r="T6" s="203" t="s">
        <v>196</v>
      </c>
      <c r="U6" s="205"/>
      <c r="V6" s="204"/>
      <c r="W6" s="206">
        <f>J26</f>
        <v>100000</v>
      </c>
      <c r="X6" s="207" t="s">
        <v>208</v>
      </c>
      <c r="Y6" s="208"/>
      <c r="Z6" s="209"/>
    </row>
    <row r="7" spans="1:26" ht="18.75" customHeight="1" x14ac:dyDescent="0.15">
      <c r="A7" s="196" t="s">
        <v>171</v>
      </c>
      <c r="B7" s="195" t="s">
        <v>169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Q7" s="210"/>
      <c r="R7" s="211" t="s">
        <v>197</v>
      </c>
      <c r="S7" s="212"/>
      <c r="T7" s="211" t="s">
        <v>186</v>
      </c>
      <c r="U7" s="213"/>
      <c r="V7" s="212"/>
      <c r="W7" s="214">
        <f>J36</f>
        <v>0</v>
      </c>
      <c r="X7" s="211" t="s">
        <v>214</v>
      </c>
      <c r="Y7" s="213"/>
      <c r="Z7" s="215"/>
    </row>
    <row r="8" spans="1:26" ht="18.75" customHeight="1" thickBot="1" x14ac:dyDescent="0.2">
      <c r="A8" s="196"/>
      <c r="C8" s="195"/>
      <c r="D8" s="195"/>
      <c r="G8" s="195"/>
      <c r="H8" s="195"/>
      <c r="I8" s="690" t="s">
        <v>163</v>
      </c>
      <c r="J8" s="687" t="s">
        <v>162</v>
      </c>
      <c r="K8" s="687"/>
      <c r="L8" s="687"/>
      <c r="M8" s="195"/>
      <c r="N8" s="195"/>
      <c r="Q8" s="195"/>
      <c r="R8" s="195"/>
      <c r="S8" s="195"/>
      <c r="T8" s="195"/>
      <c r="U8" s="648" t="s">
        <v>201</v>
      </c>
      <c r="V8" s="649"/>
      <c r="W8" s="216">
        <f>SUM(W6:W7)</f>
        <v>100000</v>
      </c>
      <c r="X8" s="195"/>
      <c r="Y8" s="195"/>
      <c r="Z8" s="217"/>
    </row>
    <row r="9" spans="1:26" ht="18.75" customHeight="1" x14ac:dyDescent="0.15">
      <c r="A9" s="196" t="s">
        <v>172</v>
      </c>
      <c r="B9" s="195" t="s">
        <v>170</v>
      </c>
      <c r="C9" s="195"/>
      <c r="D9" s="195"/>
      <c r="F9" s="688">
        <f>'9D,A9D計算シート'!$C$5</f>
        <v>43935</v>
      </c>
      <c r="G9" s="688"/>
      <c r="H9" s="195"/>
      <c r="I9" s="690"/>
      <c r="J9" s="687"/>
      <c r="K9" s="687"/>
      <c r="L9" s="687"/>
      <c r="M9" s="218"/>
      <c r="N9" s="195"/>
      <c r="Q9" s="189"/>
      <c r="R9" s="189"/>
      <c r="S9" s="189"/>
      <c r="T9" s="189"/>
      <c r="U9" s="189"/>
      <c r="V9" s="189"/>
      <c r="W9" s="219"/>
      <c r="X9" s="189"/>
      <c r="Y9" s="189"/>
      <c r="Z9" s="195"/>
    </row>
    <row r="10" spans="1:26" ht="18.75" customHeight="1" x14ac:dyDescent="0.15">
      <c r="A10" s="196"/>
      <c r="J10" s="220" t="s">
        <v>222</v>
      </c>
      <c r="K10" s="195"/>
      <c r="M10" s="185"/>
      <c r="N10" s="221" t="s">
        <v>46</v>
      </c>
      <c r="Q10" s="222" t="s">
        <v>30</v>
      </c>
      <c r="R10" s="223" t="s">
        <v>49</v>
      </c>
      <c r="S10" s="223"/>
      <c r="T10" s="224" t="s">
        <v>231</v>
      </c>
      <c r="U10" s="225"/>
      <c r="V10" s="226"/>
      <c r="W10" s="227">
        <f>IF('9D,A9D計算シート'!$B$26=3,$J$32,0)</f>
        <v>0</v>
      </c>
      <c r="X10" s="228" t="s">
        <v>215</v>
      </c>
      <c r="Y10" s="229"/>
      <c r="Z10" s="230"/>
    </row>
    <row r="11" spans="1:26" ht="18.75" customHeight="1" thickBot="1" x14ac:dyDescent="0.2">
      <c r="A11" s="196" t="s">
        <v>173</v>
      </c>
      <c r="B11" s="189" t="s">
        <v>244</v>
      </c>
      <c r="F11" s="170">
        <v>350</v>
      </c>
      <c r="G11" s="634" t="s">
        <v>51</v>
      </c>
      <c r="I11" s="195"/>
      <c r="J11" s="231" t="str">
        <f>"補助対象宿泊費 (上限"&amp;TEXT(【宿舎費_外部宿舎】,"#,###")&amp;"円／泊)："</f>
        <v>補助対象宿泊費 (上限6,280円／泊)：</v>
      </c>
      <c r="K11" s="232"/>
      <c r="M11" s="233">
        <f>IF($M$10&gt;【宿舎費_外部宿舎】,【宿舎費_外部宿舎】,$M$10)</f>
        <v>0</v>
      </c>
      <c r="N11" s="234" t="s">
        <v>46</v>
      </c>
      <c r="Q11" s="235"/>
      <c r="R11" s="195"/>
      <c r="S11" s="195"/>
      <c r="T11" s="195"/>
      <c r="U11" s="648" t="s">
        <v>201</v>
      </c>
      <c r="V11" s="649"/>
      <c r="W11" s="216">
        <f>SUM(W10:W10)</f>
        <v>0</v>
      </c>
      <c r="X11" s="195"/>
      <c r="Y11" s="195"/>
      <c r="Z11" s="217"/>
    </row>
    <row r="12" spans="1:26" ht="18.75" customHeight="1" x14ac:dyDescent="0.15">
      <c r="A12" s="196"/>
      <c r="B12" s="195" t="s">
        <v>245</v>
      </c>
      <c r="C12" s="195"/>
      <c r="D12" s="195"/>
      <c r="F12" s="635">
        <f>$F$11+1</f>
        <v>351</v>
      </c>
      <c r="G12" s="221" t="s">
        <v>247</v>
      </c>
      <c r="I12" s="195"/>
      <c r="Q12" s="189"/>
      <c r="R12" s="189"/>
      <c r="S12" s="189"/>
      <c r="T12" s="189"/>
      <c r="U12" s="189"/>
      <c r="V12" s="189"/>
      <c r="W12" s="219"/>
      <c r="X12" s="189"/>
      <c r="Y12" s="189"/>
      <c r="Z12" s="195"/>
    </row>
    <row r="13" spans="1:26" ht="18.75" customHeight="1" x14ac:dyDescent="0.15">
      <c r="A13" s="196"/>
      <c r="B13" s="236" t="s">
        <v>250</v>
      </c>
      <c r="C13" s="221"/>
      <c r="D13" s="237"/>
      <c r="E13" s="238"/>
      <c r="F13" s="238"/>
      <c r="G13" s="238"/>
      <c r="H13" s="238"/>
      <c r="I13" s="240" t="s">
        <v>175</v>
      </c>
      <c r="J13" s="232" t="s">
        <v>176</v>
      </c>
      <c r="K13" s="195"/>
      <c r="L13" s="195"/>
      <c r="M13" s="195"/>
      <c r="N13" s="195"/>
      <c r="Q13" s="241" t="s">
        <v>198</v>
      </c>
      <c r="R13" s="241" t="s">
        <v>193</v>
      </c>
      <c r="S13" s="242"/>
      <c r="T13" s="203" t="s">
        <v>194</v>
      </c>
      <c r="U13" s="205"/>
      <c r="V13" s="204"/>
      <c r="W13" s="206">
        <f>J33</f>
        <v>286440</v>
      </c>
      <c r="X13" s="203" t="s">
        <v>195</v>
      </c>
      <c r="Y13" s="205"/>
      <c r="Z13" s="204"/>
    </row>
    <row r="14" spans="1:26" ht="18.75" customHeight="1" x14ac:dyDescent="0.15">
      <c r="A14" s="196"/>
      <c r="B14" s="236" t="s">
        <v>145</v>
      </c>
      <c r="C14" s="195"/>
      <c r="D14" s="195"/>
      <c r="E14" s="195"/>
      <c r="F14" s="239" t="str">
        <f>IF('9D,A9D計算シート'!$C$12=0,"(0日)",TEXT('9D,A9D計算シート'!$C$12,"yyyy/m/d")&amp;"～"&amp;TEXT('9D,A9D計算シート'!$C$14,"yyyy/m/d")&amp;"("&amp;'9D,A9D計算シート'!$C$13&amp;"日)")</f>
        <v>2020/4/24～2021/3/30(341日)</v>
      </c>
      <c r="G14" s="195"/>
      <c r="J14" s="236" t="s">
        <v>127</v>
      </c>
      <c r="K14" s="221"/>
      <c r="L14" s="221"/>
      <c r="M14" s="48"/>
      <c r="N14" s="243" t="s">
        <v>82</v>
      </c>
      <c r="Q14" s="244"/>
      <c r="R14" s="244"/>
      <c r="S14" s="245"/>
      <c r="T14" s="211" t="s">
        <v>2</v>
      </c>
      <c r="U14" s="213"/>
      <c r="V14" s="212"/>
      <c r="W14" s="214">
        <f>J34</f>
        <v>365040</v>
      </c>
      <c r="X14" s="211" t="s">
        <v>195</v>
      </c>
      <c r="Y14" s="213"/>
      <c r="Z14" s="212"/>
    </row>
    <row r="15" spans="1:26" ht="18.75" customHeight="1" thickBot="1" x14ac:dyDescent="0.2">
      <c r="A15" s="196"/>
      <c r="B15" s="195"/>
      <c r="C15" s="195"/>
      <c r="D15" s="195"/>
      <c r="E15" s="195"/>
      <c r="F15" s="195"/>
      <c r="G15" s="246"/>
      <c r="J15" s="236" t="s">
        <v>84</v>
      </c>
      <c r="K15" s="35"/>
      <c r="L15" s="35"/>
      <c r="M15" s="48"/>
      <c r="N15" s="243" t="s">
        <v>82</v>
      </c>
      <c r="Q15" s="195"/>
      <c r="R15" s="195"/>
      <c r="S15" s="195"/>
      <c r="T15" s="195"/>
      <c r="U15" s="648" t="s">
        <v>201</v>
      </c>
      <c r="V15" s="649"/>
      <c r="W15" s="216">
        <f>SUM(W13:W14)</f>
        <v>651480</v>
      </c>
      <c r="X15" s="195"/>
      <c r="Y15" s="195"/>
      <c r="Z15" s="217"/>
    </row>
    <row r="16" spans="1:26" ht="18.75" customHeight="1" x14ac:dyDescent="0.15">
      <c r="A16" s="196" t="s">
        <v>174</v>
      </c>
      <c r="B16" s="195" t="s">
        <v>203</v>
      </c>
      <c r="F16" s="689">
        <v>100000</v>
      </c>
      <c r="G16" s="689"/>
      <c r="H16" s="246" t="s">
        <v>82</v>
      </c>
      <c r="I16" s="195"/>
      <c r="J16" s="236" t="s">
        <v>83</v>
      </c>
      <c r="K16" s="221"/>
      <c r="L16" s="221"/>
      <c r="M16" s="48"/>
      <c r="N16" s="243" t="s">
        <v>82</v>
      </c>
      <c r="Q16" s="189"/>
      <c r="R16" s="189"/>
      <c r="S16" s="189"/>
      <c r="T16" s="189"/>
      <c r="U16" s="189"/>
      <c r="V16" s="189"/>
      <c r="W16" s="219"/>
      <c r="X16" s="189"/>
      <c r="Y16" s="189"/>
      <c r="Z16" s="195"/>
    </row>
    <row r="17" spans="1:26" ht="18.75" customHeight="1" x14ac:dyDescent="0.15">
      <c r="B17" s="247" t="s">
        <v>270</v>
      </c>
      <c r="J17" s="218"/>
      <c r="K17" s="218"/>
      <c r="L17" s="691" t="s">
        <v>5</v>
      </c>
      <c r="M17" s="662">
        <f>SUM(M14:M16)</f>
        <v>0</v>
      </c>
      <c r="N17" s="663" t="s">
        <v>82</v>
      </c>
      <c r="Q17" s="241" t="s">
        <v>200</v>
      </c>
      <c r="R17" s="241" t="s">
        <v>199</v>
      </c>
      <c r="S17" s="242"/>
      <c r="T17" s="203" t="s">
        <v>10</v>
      </c>
      <c r="U17" s="205"/>
      <c r="V17" s="204"/>
      <c r="W17" s="206">
        <f>J35</f>
        <v>1769790</v>
      </c>
      <c r="X17" s="205" t="s">
        <v>209</v>
      </c>
      <c r="Y17" s="205"/>
      <c r="Z17" s="204"/>
    </row>
    <row r="18" spans="1:26" ht="18.75" customHeight="1" x14ac:dyDescent="0.15">
      <c r="A18" s="196"/>
      <c r="I18" s="238"/>
      <c r="J18" s="195"/>
      <c r="K18" s="195"/>
      <c r="L18" s="691"/>
      <c r="M18" s="662"/>
      <c r="N18" s="663"/>
      <c r="Q18" s="244"/>
      <c r="R18" s="244"/>
      <c r="S18" s="245"/>
      <c r="T18" s="211" t="s">
        <v>232</v>
      </c>
      <c r="U18" s="213"/>
      <c r="V18" s="212"/>
      <c r="W18" s="214">
        <f>IF('9D,A9D計算シート'!$B$26=2,$J$32,0)</f>
        <v>0</v>
      </c>
      <c r="X18" s="211" t="s">
        <v>207</v>
      </c>
      <c r="Y18" s="213"/>
      <c r="Z18" s="215"/>
    </row>
    <row r="19" spans="1:26" ht="18.75" customHeight="1" thickBot="1" x14ac:dyDescent="0.2">
      <c r="A19" s="195"/>
      <c r="G19" s="246"/>
      <c r="H19" s="238"/>
      <c r="I19" s="238"/>
      <c r="M19" s="248"/>
      <c r="N19" s="1" t="s">
        <v>79</v>
      </c>
      <c r="Q19" s="195"/>
      <c r="R19" s="195"/>
      <c r="S19" s="195"/>
      <c r="T19" s="195"/>
      <c r="U19" s="648" t="s">
        <v>201</v>
      </c>
      <c r="V19" s="648"/>
      <c r="W19" s="216">
        <f>SUM(W17:W18)</f>
        <v>1769790</v>
      </c>
      <c r="X19" s="195"/>
      <c r="Y19" s="195"/>
      <c r="Z19" s="217"/>
    </row>
    <row r="20" spans="1:26" s="249" customFormat="1" ht="16.5" customHeight="1" x14ac:dyDescent="0.15">
      <c r="C20" s="218"/>
      <c r="D20" s="218"/>
      <c r="E20" s="218"/>
      <c r="F20" s="218"/>
      <c r="G20" s="218"/>
      <c r="H20" s="218"/>
      <c r="I20" s="250"/>
      <c r="J20" s="218"/>
      <c r="K20" s="218"/>
      <c r="L20" s="218"/>
      <c r="O20" s="190"/>
    </row>
    <row r="21" spans="1:26" ht="16.5" customHeight="1" x14ac:dyDescent="0.15">
      <c r="A21" s="188" t="s">
        <v>45</v>
      </c>
      <c r="B21" s="251"/>
      <c r="C21" s="251"/>
      <c r="D21" s="251"/>
      <c r="K21" s="252"/>
      <c r="M21" s="253"/>
    </row>
    <row r="22" spans="1:26" ht="16.5" customHeight="1" x14ac:dyDescent="0.15">
      <c r="A22" s="251"/>
      <c r="B22" s="717" t="s">
        <v>77</v>
      </c>
      <c r="C22" s="717"/>
      <c r="D22" s="717"/>
      <c r="E22" s="717"/>
      <c r="F22" s="717"/>
      <c r="G22" s="717"/>
      <c r="H22" s="717"/>
      <c r="I22" s="717"/>
      <c r="J22" s="717"/>
      <c r="K22" s="717"/>
      <c r="L22" s="717"/>
      <c r="M22" s="717"/>
      <c r="N22" s="717"/>
    </row>
    <row r="23" spans="1:26" ht="16.5" customHeight="1" thickBot="1" x14ac:dyDescent="0.2">
      <c r="B23" s="718"/>
      <c r="C23" s="718"/>
      <c r="D23" s="718"/>
      <c r="E23" s="718"/>
      <c r="F23" s="718"/>
      <c r="G23" s="718"/>
      <c r="H23" s="718"/>
      <c r="I23" s="718"/>
      <c r="J23" s="718"/>
      <c r="K23" s="718"/>
      <c r="L23" s="718"/>
      <c r="M23" s="718"/>
      <c r="N23" s="718"/>
    </row>
    <row r="24" spans="1:26" ht="16.5" customHeight="1" x14ac:dyDescent="0.15">
      <c r="B24" s="706" t="s">
        <v>224</v>
      </c>
      <c r="C24" s="707"/>
      <c r="D24" s="707"/>
      <c r="E24" s="707"/>
      <c r="F24" s="707"/>
      <c r="G24" s="708"/>
      <c r="H24" s="704" t="s">
        <v>32</v>
      </c>
      <c r="I24" s="704" t="s">
        <v>39</v>
      </c>
      <c r="J24" s="702" t="s">
        <v>0</v>
      </c>
      <c r="K24" s="699" t="s">
        <v>131</v>
      </c>
      <c r="L24" s="700"/>
      <c r="M24" s="715" t="s">
        <v>38</v>
      </c>
      <c r="N24" s="716"/>
    </row>
    <row r="25" spans="1:26" ht="16.5" customHeight="1" thickBot="1" x14ac:dyDescent="0.2">
      <c r="B25" s="709"/>
      <c r="C25" s="710"/>
      <c r="D25" s="710"/>
      <c r="E25" s="710"/>
      <c r="F25" s="710"/>
      <c r="G25" s="711"/>
      <c r="H25" s="705"/>
      <c r="I25" s="705"/>
      <c r="J25" s="703"/>
      <c r="K25" s="255" t="s">
        <v>40</v>
      </c>
      <c r="L25" s="256">
        <f>VLOOKUP(【研修申込区分】,【研修申込区分別費用】,3,FALSE)</f>
        <v>0.66666666666666663</v>
      </c>
      <c r="M25" s="257" t="s">
        <v>41</v>
      </c>
      <c r="N25" s="258">
        <f>VLOOKUP(【研修申込区分】,【研修申込区分別費用】,4,FALSE)</f>
        <v>0.33333333333333337</v>
      </c>
      <c r="Q25" s="188" t="s">
        <v>252</v>
      </c>
      <c r="R25" s="259"/>
      <c r="S25" s="259"/>
      <c r="T25" s="259"/>
      <c r="U25" s="249"/>
      <c r="V25" s="249"/>
      <c r="W25" s="249"/>
      <c r="X25" s="249"/>
      <c r="Y25" s="249"/>
      <c r="Z25" s="249"/>
    </row>
    <row r="26" spans="1:26" ht="18.75" customHeight="1" x14ac:dyDescent="0.15">
      <c r="B26" s="692" t="s">
        <v>112</v>
      </c>
      <c r="C26" s="260" t="s">
        <v>144</v>
      </c>
      <c r="D26" s="195"/>
      <c r="E26" s="195"/>
      <c r="F26" s="195"/>
      <c r="G26" s="261" t="s">
        <v>0</v>
      </c>
      <c r="H26" s="262"/>
      <c r="I26" s="263" t="s">
        <v>148</v>
      </c>
      <c r="J26" s="645">
        <f>IF(【研修申込区分】=6,$F$16,"補助対象外")</f>
        <v>100000</v>
      </c>
      <c r="K26" s="664">
        <f>IF('9D,A9D計算シート'!B35=6,ROUNDDOWN(J26*$L$25,0),"補助対象外")</f>
        <v>66666</v>
      </c>
      <c r="L26" s="665"/>
      <c r="M26" s="670">
        <f>IF('9D,A9D計算シート'!B35=6,ROUNDUP(J26*$N$25,0),"補助対象外")</f>
        <v>33334</v>
      </c>
      <c r="N26" s="671"/>
      <c r="Q26" s="189"/>
      <c r="R26" s="189"/>
      <c r="S26" s="189"/>
      <c r="T26" s="189"/>
      <c r="U26" s="189"/>
      <c r="V26" s="189"/>
      <c r="W26" s="189"/>
      <c r="X26" s="189"/>
      <c r="Y26" s="189"/>
      <c r="Z26" s="189"/>
    </row>
    <row r="27" spans="1:26" ht="18.75" customHeight="1" x14ac:dyDescent="0.15">
      <c r="B27" s="693"/>
      <c r="C27" s="712" t="s">
        <v>27</v>
      </c>
      <c r="D27" s="264" t="s">
        <v>12</v>
      </c>
      <c r="E27" s="265"/>
      <c r="F27" s="265"/>
      <c r="G27" s="266"/>
      <c r="H27" s="267"/>
      <c r="I27" s="268"/>
      <c r="J27" s="269"/>
      <c r="K27" s="666"/>
      <c r="L27" s="667"/>
      <c r="M27" s="667"/>
      <c r="N27" s="672"/>
    </row>
    <row r="28" spans="1:26" ht="18.75" customHeight="1" x14ac:dyDescent="0.15">
      <c r="B28" s="693"/>
      <c r="C28" s="713"/>
      <c r="D28" s="270"/>
      <c r="E28" s="271" t="s">
        <v>11</v>
      </c>
      <c r="F28" s="272"/>
      <c r="G28" s="273" t="s">
        <v>34</v>
      </c>
      <c r="H28" s="274">
        <f>【宿舎費_研修センター】+【食費_夕食】+【食費_朝食】</f>
        <v>8600</v>
      </c>
      <c r="I28" s="275">
        <v>1</v>
      </c>
      <c r="J28" s="276">
        <f t="shared" ref="J28:J35" si="0">H28*I28</f>
        <v>8600</v>
      </c>
      <c r="K28" s="668">
        <f t="shared" ref="K28:K35" si="1">ROUNDDOWN(J28*$L$25,0)</f>
        <v>5733</v>
      </c>
      <c r="L28" s="669"/>
      <c r="M28" s="660">
        <f t="shared" ref="M28:M35" si="2">ROUNDUP(J28*$N$25,0)</f>
        <v>2867</v>
      </c>
      <c r="N28" s="661"/>
      <c r="Q28" s="277" t="s">
        <v>149</v>
      </c>
      <c r="R28" s="278"/>
      <c r="S28" s="279" t="s">
        <v>188</v>
      </c>
      <c r="T28" s="279"/>
      <c r="U28" s="279"/>
      <c r="V28" s="278"/>
      <c r="W28" s="280"/>
      <c r="Y28" s="281"/>
      <c r="Z28" s="281"/>
    </row>
    <row r="29" spans="1:26" ht="18.75" customHeight="1" thickBot="1" x14ac:dyDescent="0.2">
      <c r="B29" s="693"/>
      <c r="C29" s="713"/>
      <c r="D29" s="270"/>
      <c r="E29" s="271" t="s">
        <v>111</v>
      </c>
      <c r="F29" s="272"/>
      <c r="G29" s="282" t="s">
        <v>34</v>
      </c>
      <c r="H29" s="283">
        <f>【宿舎費_研修センター】+【食費_昼食】+【食費_夕食】+【食費_朝食】</f>
        <v>9440</v>
      </c>
      <c r="I29" s="284">
        <f>VLOOKUP('9D,A9D計算シート'!D7,【日程表】,6,FALSE)-I28-I30</f>
        <v>9</v>
      </c>
      <c r="J29" s="285">
        <f t="shared" si="0"/>
        <v>84960</v>
      </c>
      <c r="K29" s="675">
        <f t="shared" si="1"/>
        <v>56640</v>
      </c>
      <c r="L29" s="676"/>
      <c r="M29" s="658">
        <f t="shared" si="2"/>
        <v>28320</v>
      </c>
      <c r="N29" s="659"/>
      <c r="Q29" s="286"/>
      <c r="R29" s="278"/>
      <c r="S29" s="287">
        <f>$J$37</f>
        <v>5547430</v>
      </c>
      <c r="T29" s="287"/>
      <c r="U29" s="287"/>
      <c r="V29" s="278"/>
      <c r="W29" s="286"/>
      <c r="X29" s="278"/>
      <c r="Y29" s="281"/>
      <c r="Z29" s="281"/>
    </row>
    <row r="30" spans="1:26" ht="18.75" customHeight="1" x14ac:dyDescent="0.15">
      <c r="B30" s="693"/>
      <c r="C30" s="713"/>
      <c r="D30" s="270"/>
      <c r="E30" s="288" t="s">
        <v>36</v>
      </c>
      <c r="F30" s="289"/>
      <c r="G30" s="290" t="s">
        <v>30</v>
      </c>
      <c r="H30" s="291">
        <v>0</v>
      </c>
      <c r="I30" s="292">
        <v>0</v>
      </c>
      <c r="J30" s="293">
        <f t="shared" si="0"/>
        <v>0</v>
      </c>
      <c r="K30" s="677">
        <f t="shared" si="1"/>
        <v>0</v>
      </c>
      <c r="L30" s="678"/>
      <c r="M30" s="654">
        <f t="shared" si="2"/>
        <v>0</v>
      </c>
      <c r="N30" s="655"/>
      <c r="Q30" s="294"/>
      <c r="R30" s="295"/>
      <c r="S30" s="296" t="s">
        <v>253</v>
      </c>
      <c r="T30" s="297"/>
      <c r="U30" s="298"/>
      <c r="V30" s="278"/>
      <c r="W30" s="299"/>
      <c r="X30" s="278"/>
    </row>
    <row r="31" spans="1:26" ht="18.75" customHeight="1" x14ac:dyDescent="0.15">
      <c r="B31" s="693"/>
      <c r="C31" s="713"/>
      <c r="D31" s="300"/>
      <c r="E31" s="301"/>
      <c r="F31" s="302"/>
      <c r="G31" s="303" t="s">
        <v>37</v>
      </c>
      <c r="H31" s="304">
        <v>0</v>
      </c>
      <c r="I31" s="305">
        <v>0</v>
      </c>
      <c r="J31" s="306">
        <f t="shared" si="0"/>
        <v>0</v>
      </c>
      <c r="K31" s="673">
        <f t="shared" si="1"/>
        <v>0</v>
      </c>
      <c r="L31" s="674"/>
      <c r="M31" s="656">
        <f t="shared" si="2"/>
        <v>0</v>
      </c>
      <c r="N31" s="657"/>
      <c r="Q31" s="307"/>
      <c r="R31" s="295"/>
      <c r="S31" s="308" t="s">
        <v>180</v>
      </c>
      <c r="T31" s="309"/>
      <c r="U31" s="310"/>
      <c r="V31" s="278"/>
      <c r="W31" s="311"/>
      <c r="X31" s="278"/>
      <c r="Y31" s="312" t="s">
        <v>206</v>
      </c>
    </row>
    <row r="32" spans="1:26" ht="18.75" customHeight="1" thickBot="1" x14ac:dyDescent="0.2">
      <c r="B32" s="693"/>
      <c r="C32" s="713"/>
      <c r="D32" s="313" t="s">
        <v>33</v>
      </c>
      <c r="E32" s="195"/>
      <c r="F32" s="195"/>
      <c r="G32" s="314" t="s">
        <v>30</v>
      </c>
      <c r="H32" s="291">
        <f>IF(【実地研修中の宿泊】=1,【宿舎費_研修センター】+【食費_夕食】+【食費_朝食】,IF(【実地研修中の宿泊】=2,【宿舎費_会社施設】,$M$11))</f>
        <v>8600</v>
      </c>
      <c r="I32" s="292">
        <f>'9D,A9D計算シート'!$C$13</f>
        <v>341</v>
      </c>
      <c r="J32" s="293">
        <f t="shared" si="0"/>
        <v>2932600</v>
      </c>
      <c r="K32" s="677">
        <f t="shared" si="1"/>
        <v>1955066</v>
      </c>
      <c r="L32" s="678"/>
      <c r="M32" s="654">
        <f t="shared" si="2"/>
        <v>977534</v>
      </c>
      <c r="N32" s="655"/>
      <c r="Q32" s="315" t="s">
        <v>150</v>
      </c>
      <c r="R32" s="295"/>
      <c r="S32" s="316" t="s">
        <v>183</v>
      </c>
      <c r="T32" s="317"/>
      <c r="U32" s="318">
        <f>$J$57</f>
        <v>3026160</v>
      </c>
      <c r="V32" s="278"/>
      <c r="W32" s="311"/>
      <c r="X32" s="278"/>
      <c r="Y32" s="319" t="s">
        <v>153</v>
      </c>
    </row>
    <row r="33" spans="1:28" ht="18.75" customHeight="1" x14ac:dyDescent="0.15">
      <c r="B33" s="693"/>
      <c r="C33" s="713"/>
      <c r="D33" s="320"/>
      <c r="E33" s="321"/>
      <c r="F33" s="321"/>
      <c r="G33" s="322" t="str">
        <f>IF(【実地研修中の宿泊】=1,"食費(昼食費)","食費")</f>
        <v>食費(昼食費)</v>
      </c>
      <c r="H33" s="304">
        <f>IF(【実地研修中の宿泊】=1,【食費_昼食】,【食費_昼食】+【食費_夕食】+【食費_朝食】)</f>
        <v>840</v>
      </c>
      <c r="I33" s="305">
        <f>'9D,A9D計算シート'!$C$13</f>
        <v>341</v>
      </c>
      <c r="J33" s="306">
        <f t="shared" si="0"/>
        <v>286440</v>
      </c>
      <c r="K33" s="673">
        <f t="shared" si="1"/>
        <v>190960</v>
      </c>
      <c r="L33" s="674"/>
      <c r="M33" s="656">
        <f t="shared" si="2"/>
        <v>95480</v>
      </c>
      <c r="N33" s="657"/>
      <c r="Q33" s="315"/>
      <c r="R33" s="278"/>
      <c r="S33" s="323" t="s">
        <v>248</v>
      </c>
      <c r="T33" s="324"/>
      <c r="U33" s="325"/>
      <c r="V33" s="278"/>
      <c r="W33" s="311"/>
      <c r="X33" s="278"/>
      <c r="Y33" s="326"/>
      <c r="Z33" s="327"/>
    </row>
    <row r="34" spans="1:28" ht="18.75" customHeight="1" x14ac:dyDescent="0.15">
      <c r="B34" s="693"/>
      <c r="C34" s="714"/>
      <c r="D34" s="271" t="s">
        <v>2</v>
      </c>
      <c r="E34" s="272"/>
      <c r="F34" s="272"/>
      <c r="G34" s="226"/>
      <c r="H34" s="328">
        <f>【雑費】</f>
        <v>1040</v>
      </c>
      <c r="I34" s="329">
        <f>F12</f>
        <v>351</v>
      </c>
      <c r="J34" s="330">
        <f t="shared" si="0"/>
        <v>365040</v>
      </c>
      <c r="K34" s="668">
        <f t="shared" si="1"/>
        <v>243360</v>
      </c>
      <c r="L34" s="669"/>
      <c r="M34" s="660">
        <f t="shared" si="2"/>
        <v>121680</v>
      </c>
      <c r="N34" s="661"/>
      <c r="Q34" s="331">
        <f>$K$37</f>
        <v>3698285</v>
      </c>
      <c r="S34" s="332" t="s">
        <v>204</v>
      </c>
      <c r="T34" s="333"/>
      <c r="U34" s="334">
        <f>$J$26</f>
        <v>100000</v>
      </c>
      <c r="W34" s="311"/>
      <c r="X34" s="335"/>
      <c r="Y34" s="336" t="s">
        <v>151</v>
      </c>
      <c r="Z34" s="337">
        <f>$U$34</f>
        <v>100000</v>
      </c>
    </row>
    <row r="35" spans="1:28" ht="18.75" customHeight="1" x14ac:dyDescent="0.15">
      <c r="B35" s="693"/>
      <c r="C35" s="241" t="s">
        <v>3</v>
      </c>
      <c r="D35" s="338"/>
      <c r="E35" s="338"/>
      <c r="F35" s="338"/>
      <c r="G35" s="242"/>
      <c r="H35" s="283">
        <f>VLOOKUP(【研修申込区分】,【研修申込区分別費用】,5,FALSE)</f>
        <v>5190</v>
      </c>
      <c r="I35" s="284">
        <f>'9D,A9D計算シート'!$C$13</f>
        <v>341</v>
      </c>
      <c r="J35" s="285">
        <f t="shared" si="0"/>
        <v>1769790</v>
      </c>
      <c r="K35" s="675">
        <f t="shared" si="1"/>
        <v>1179860</v>
      </c>
      <c r="L35" s="676"/>
      <c r="M35" s="658">
        <f t="shared" si="2"/>
        <v>589930</v>
      </c>
      <c r="N35" s="659"/>
      <c r="Q35" s="307" t="str">
        <f>"("&amp;TEXT(VLOOKUP(【研修申込区分】,【研修申込区分別費用】,3,FALSE),"# ?/?")&amp;" )"</f>
        <v>( 2/3 )</v>
      </c>
      <c r="S35" s="332" t="s">
        <v>189</v>
      </c>
      <c r="T35" s="333"/>
      <c r="U35" s="334">
        <f>IF(【実地研修中の宿泊】=1,0,$J$32)</f>
        <v>0</v>
      </c>
      <c r="W35" s="311"/>
      <c r="X35" s="335"/>
      <c r="Y35" s="339" t="s">
        <v>30</v>
      </c>
      <c r="Z35" s="340">
        <f>$U$35</f>
        <v>0</v>
      </c>
      <c r="AB35" s="190"/>
    </row>
    <row r="36" spans="1:28" ht="18.75" customHeight="1" thickBot="1" x14ac:dyDescent="0.2">
      <c r="B36" s="341" t="s">
        <v>186</v>
      </c>
      <c r="C36" s="342"/>
      <c r="D36" s="342"/>
      <c r="E36" s="342"/>
      <c r="F36" s="342"/>
      <c r="G36" s="343"/>
      <c r="H36" s="344" t="s">
        <v>187</v>
      </c>
      <c r="I36" s="345" t="s">
        <v>187</v>
      </c>
      <c r="J36" s="346">
        <f>$M$17</f>
        <v>0</v>
      </c>
      <c r="K36" s="694">
        <f>J36</f>
        <v>0</v>
      </c>
      <c r="L36" s="695"/>
      <c r="M36" s="650"/>
      <c r="N36" s="651"/>
      <c r="Q36" s="347"/>
      <c r="S36" s="332" t="s">
        <v>182</v>
      </c>
      <c r="T36" s="333"/>
      <c r="U36" s="334">
        <f>$J$33</f>
        <v>286440</v>
      </c>
      <c r="W36" s="348"/>
      <c r="X36" s="349"/>
      <c r="Y36" s="336" t="s">
        <v>210</v>
      </c>
      <c r="Z36" s="350">
        <f>$U$36</f>
        <v>286440</v>
      </c>
    </row>
    <row r="37" spans="1:28" ht="18.75" customHeight="1" thickBot="1" x14ac:dyDescent="0.2">
      <c r="B37" s="682" t="s">
        <v>146</v>
      </c>
      <c r="C37" s="683"/>
      <c r="D37" s="683"/>
      <c r="E37" s="683"/>
      <c r="F37" s="683"/>
      <c r="G37" s="683"/>
      <c r="H37" s="683"/>
      <c r="I37" s="684"/>
      <c r="J37" s="351">
        <f>SUM(J26:J36)</f>
        <v>5547430</v>
      </c>
      <c r="K37" s="696">
        <f>SUM(K26:K36)</f>
        <v>3698285</v>
      </c>
      <c r="L37" s="697"/>
      <c r="M37" s="652">
        <f>SUM(M26:M36)</f>
        <v>1849145</v>
      </c>
      <c r="N37" s="653"/>
      <c r="Q37" s="352" t="s">
        <v>265</v>
      </c>
      <c r="S37" s="332" t="s">
        <v>181</v>
      </c>
      <c r="T37" s="333"/>
      <c r="U37" s="334">
        <f>$J$34</f>
        <v>365040</v>
      </c>
      <c r="V37" s="353" t="s">
        <v>243</v>
      </c>
      <c r="W37" s="279"/>
      <c r="X37" s="354"/>
      <c r="Y37" s="336" t="s">
        <v>211</v>
      </c>
      <c r="Z37" s="350">
        <f>$U$37</f>
        <v>365040</v>
      </c>
    </row>
    <row r="38" spans="1:28" ht="16.5" customHeight="1" x14ac:dyDescent="0.15">
      <c r="A38" s="355"/>
      <c r="B38" s="356"/>
      <c r="C38" s="357"/>
      <c r="D38" s="357"/>
      <c r="E38" s="357"/>
      <c r="F38" s="357"/>
      <c r="G38" s="357"/>
      <c r="H38" s="357"/>
      <c r="I38" s="357"/>
      <c r="J38" s="358" t="s">
        <v>85</v>
      </c>
      <c r="K38" s="701" t="s">
        <v>43</v>
      </c>
      <c r="L38" s="701"/>
      <c r="M38" s="701" t="s">
        <v>266</v>
      </c>
      <c r="N38" s="701"/>
      <c r="Q38" s="359">
        <f>$M$37</f>
        <v>1849145</v>
      </c>
      <c r="S38" s="332" t="s">
        <v>184</v>
      </c>
      <c r="T38" s="333"/>
      <c r="U38" s="334">
        <f>$J$35</f>
        <v>1769790</v>
      </c>
      <c r="V38" s="360">
        <f>$S$29-$U$32-$U$40</f>
        <v>2521270</v>
      </c>
      <c r="W38" s="279"/>
      <c r="X38" s="361"/>
      <c r="Y38" s="336" t="s">
        <v>152</v>
      </c>
      <c r="Z38" s="337">
        <f>$U$38</f>
        <v>1769790</v>
      </c>
    </row>
    <row r="39" spans="1:28" ht="16.5" customHeight="1" thickBot="1" x14ac:dyDescent="0.2">
      <c r="B39" s="218"/>
      <c r="C39" s="362"/>
      <c r="D39" s="362"/>
      <c r="E39" s="362"/>
      <c r="F39" s="362"/>
      <c r="G39" s="362"/>
      <c r="H39" s="362"/>
      <c r="I39" s="362"/>
      <c r="J39" s="362"/>
      <c r="K39" s="195"/>
      <c r="L39" s="195"/>
      <c r="M39" s="195"/>
      <c r="N39" s="195"/>
      <c r="Q39" s="363" t="str">
        <f>"("&amp;TEXT(VLOOKUP(【研修申込区分】,【研修申込区分別費用】,4,FALSE),"# ?/?")&amp;" )"</f>
        <v>( 1/3 )</v>
      </c>
      <c r="R39" s="295"/>
      <c r="S39" s="332"/>
      <c r="T39" s="333"/>
      <c r="U39" s="364" t="str">
        <f>"( "&amp;TEXT($S$29-$U$32-$U$40,"#,###0")&amp;")"</f>
        <v>( 2,521,270)</v>
      </c>
      <c r="V39" s="360" t="s">
        <v>177</v>
      </c>
      <c r="W39" s="279"/>
      <c r="X39" s="365"/>
      <c r="Y39" s="366"/>
      <c r="Z39" s="367" t="str">
        <f>"( "&amp;TEXT(SUM(Z33:Z38),"#,###0")&amp;")"</f>
        <v>( 2,521,270)</v>
      </c>
    </row>
    <row r="40" spans="1:28" ht="18.75" customHeight="1" thickBot="1" x14ac:dyDescent="0.2">
      <c r="B40" s="685" t="s">
        <v>234</v>
      </c>
      <c r="C40" s="685"/>
      <c r="D40" s="685"/>
      <c r="E40" s="685"/>
      <c r="F40" s="685"/>
      <c r="G40" s="685"/>
      <c r="H40" s="685"/>
      <c r="I40" s="685"/>
      <c r="J40" s="685"/>
      <c r="Q40" s="368" t="s">
        <v>263</v>
      </c>
      <c r="R40" s="278"/>
      <c r="S40" s="369" t="s">
        <v>185</v>
      </c>
      <c r="T40" s="370"/>
      <c r="U40" s="371">
        <f>$M$17</f>
        <v>0</v>
      </c>
      <c r="V40" s="365" t="s">
        <v>233</v>
      </c>
      <c r="W40" s="279"/>
      <c r="X40" s="365"/>
      <c r="Y40" s="372" t="s">
        <v>154</v>
      </c>
      <c r="Z40" s="373">
        <f>$M$17</f>
        <v>0</v>
      </c>
      <c r="AA40" s="249"/>
    </row>
    <row r="41" spans="1:28" ht="18.75" customHeight="1" thickBot="1" x14ac:dyDescent="0.2">
      <c r="B41" s="685"/>
      <c r="C41" s="685"/>
      <c r="D41" s="685"/>
      <c r="E41" s="685"/>
      <c r="F41" s="685"/>
      <c r="G41" s="685"/>
      <c r="H41" s="685"/>
      <c r="I41" s="685"/>
      <c r="J41" s="685"/>
      <c r="K41" s="238"/>
      <c r="L41" s="238"/>
      <c r="M41" s="246"/>
      <c r="N41" s="374"/>
      <c r="Q41" s="375" t="str">
        <f>G3</f>
        <v>(9D,A9D)</v>
      </c>
      <c r="R41" s="278"/>
      <c r="S41" s="218"/>
      <c r="T41" s="218"/>
      <c r="U41" s="218"/>
      <c r="V41" s="376">
        <f>$M$17</f>
        <v>0</v>
      </c>
      <c r="W41" s="279"/>
      <c r="X41" s="377"/>
      <c r="Y41" s="189"/>
      <c r="Z41" s="189"/>
    </row>
    <row r="42" spans="1:28" ht="18.75" customHeight="1" thickBot="1" x14ac:dyDescent="0.2">
      <c r="C42" s="679" t="s">
        <v>138</v>
      </c>
      <c r="D42" s="680"/>
      <c r="E42" s="680"/>
      <c r="F42" s="680"/>
      <c r="G42" s="681"/>
      <c r="H42" s="378" t="s">
        <v>32</v>
      </c>
      <c r="I42" s="378" t="s">
        <v>39</v>
      </c>
      <c r="J42" s="379" t="s">
        <v>74</v>
      </c>
      <c r="Q42" s="380">
        <f>$J$44</f>
        <v>167000</v>
      </c>
      <c r="R42" s="278"/>
      <c r="S42" s="195"/>
      <c r="T42" s="195"/>
      <c r="U42" s="195"/>
      <c r="V42" s="377"/>
      <c r="W42" s="279"/>
      <c r="X42" s="354"/>
      <c r="Y42" s="189"/>
      <c r="Z42" s="189"/>
    </row>
    <row r="43" spans="1:28" ht="18.75" customHeight="1" x14ac:dyDescent="0.15">
      <c r="C43" s="693" t="s">
        <v>113</v>
      </c>
      <c r="D43" s="244" t="s">
        <v>267</v>
      </c>
      <c r="E43" s="381"/>
      <c r="F43" s="381"/>
      <c r="G43" s="381"/>
      <c r="H43" s="381"/>
      <c r="I43" s="381"/>
      <c r="J43" s="382">
        <f>M37</f>
        <v>1849145</v>
      </c>
      <c r="Q43" s="383"/>
      <c r="R43" s="278"/>
      <c r="S43" s="195"/>
      <c r="T43" s="195"/>
      <c r="U43" s="195"/>
      <c r="V43" s="377"/>
      <c r="W43" s="279"/>
      <c r="X43" s="354"/>
      <c r="Y43" s="189"/>
      <c r="Z43" s="189"/>
    </row>
    <row r="44" spans="1:28" ht="18.75" customHeight="1" x14ac:dyDescent="0.15">
      <c r="C44" s="693"/>
      <c r="D44" s="244" t="s">
        <v>262</v>
      </c>
      <c r="E44" s="381"/>
      <c r="F44" s="381"/>
      <c r="G44" s="381"/>
      <c r="H44" s="384">
        <f>VLOOKUP(【研修申込区分】,【研修申込区分別費用】,6,FALSE)</f>
        <v>167000</v>
      </c>
      <c r="I44" s="385">
        <v>1</v>
      </c>
      <c r="J44" s="386">
        <f>H44</f>
        <v>167000</v>
      </c>
      <c r="Q44" s="307"/>
      <c r="S44" s="189"/>
      <c r="T44" s="189"/>
      <c r="U44" s="189"/>
      <c r="V44" s="377"/>
      <c r="W44" s="279"/>
      <c r="X44" s="387"/>
      <c r="Y44" s="189"/>
      <c r="Z44" s="189"/>
    </row>
    <row r="45" spans="1:28" ht="18.75" customHeight="1" thickBot="1" x14ac:dyDescent="0.2">
      <c r="C45" s="721"/>
      <c r="D45" s="388"/>
      <c r="E45" s="251"/>
      <c r="F45" s="251"/>
      <c r="G45" s="389"/>
      <c r="H45" s="390"/>
      <c r="I45" s="391"/>
      <c r="J45" s="392"/>
      <c r="Q45" s="315"/>
      <c r="S45" s="195"/>
      <c r="T45" s="195"/>
      <c r="U45" s="195"/>
      <c r="V45" s="393"/>
      <c r="W45" s="279"/>
      <c r="X45" s="394"/>
      <c r="Y45" s="395">
        <f>Y47+Y51</f>
        <v>2016145</v>
      </c>
    </row>
    <row r="46" spans="1:28" ht="18.75" customHeight="1" thickBot="1" x14ac:dyDescent="0.2">
      <c r="C46" s="682" t="s">
        <v>146</v>
      </c>
      <c r="D46" s="683"/>
      <c r="E46" s="683"/>
      <c r="F46" s="683"/>
      <c r="G46" s="683"/>
      <c r="H46" s="683"/>
      <c r="I46" s="684"/>
      <c r="J46" s="396">
        <f>SUM(J43:J45)</f>
        <v>2016145</v>
      </c>
      <c r="K46" s="397" t="s">
        <v>235</v>
      </c>
      <c r="Q46" s="315" t="s">
        <v>150</v>
      </c>
      <c r="S46" s="195"/>
      <c r="T46" s="195"/>
      <c r="U46" s="195"/>
      <c r="V46" s="365"/>
      <c r="W46" s="279"/>
      <c r="X46" s="393"/>
      <c r="Y46" s="398" t="s">
        <v>268</v>
      </c>
    </row>
    <row r="47" spans="1:28" ht="18.75" customHeight="1" x14ac:dyDescent="0.15">
      <c r="B47" s="195"/>
      <c r="C47" s="195"/>
      <c r="D47" s="195"/>
      <c r="E47" s="195"/>
      <c r="F47" s="195"/>
      <c r="G47" s="195"/>
      <c r="H47" s="195"/>
      <c r="I47" s="195"/>
      <c r="K47" s="195"/>
      <c r="L47" s="195"/>
      <c r="O47" s="246"/>
      <c r="Q47" s="331"/>
      <c r="S47" s="195"/>
      <c r="T47" s="195"/>
      <c r="U47" s="195"/>
      <c r="V47" s="393" t="s">
        <v>254</v>
      </c>
      <c r="W47" s="279"/>
      <c r="X47" s="393"/>
      <c r="Y47" s="359">
        <f>$Q$38</f>
        <v>1849145</v>
      </c>
    </row>
    <row r="48" spans="1:28" ht="18.75" customHeight="1" thickBot="1" x14ac:dyDescent="0.2">
      <c r="B48" s="686" t="s">
        <v>251</v>
      </c>
      <c r="C48" s="686"/>
      <c r="D48" s="686"/>
      <c r="E48" s="686"/>
      <c r="F48" s="686"/>
      <c r="G48" s="686"/>
      <c r="H48" s="686"/>
      <c r="I48" s="686"/>
      <c r="J48" s="686"/>
      <c r="O48" s="246"/>
      <c r="Q48" s="307"/>
      <c r="S48" s="195"/>
      <c r="T48" s="195"/>
      <c r="U48" s="195"/>
      <c r="V48" s="353">
        <f>$Y$47+$Y$51</f>
        <v>2016145</v>
      </c>
      <c r="W48" s="279"/>
      <c r="X48" s="394"/>
      <c r="Y48" s="363" t="str">
        <f>$Q$39</f>
        <v>( 1/3 )</v>
      </c>
    </row>
    <row r="49" spans="1:26" ht="18.75" customHeight="1" thickBot="1" x14ac:dyDescent="0.2">
      <c r="B49" s="686"/>
      <c r="C49" s="686"/>
      <c r="D49" s="686"/>
      <c r="E49" s="686"/>
      <c r="F49" s="686"/>
      <c r="G49" s="686"/>
      <c r="H49" s="686"/>
      <c r="I49" s="686"/>
      <c r="J49" s="686"/>
      <c r="K49" s="238"/>
      <c r="L49" s="195"/>
      <c r="N49" s="399"/>
      <c r="O49" s="246"/>
      <c r="Q49" s="400"/>
      <c r="S49" s="195"/>
      <c r="T49" s="195"/>
      <c r="U49" s="195"/>
      <c r="W49" s="195"/>
      <c r="X49" s="218"/>
      <c r="Y49" s="636" t="s">
        <v>263</v>
      </c>
    </row>
    <row r="50" spans="1:26" ht="18.75" customHeight="1" thickBot="1" x14ac:dyDescent="0.2">
      <c r="B50" s="195"/>
      <c r="C50" s="679" t="s">
        <v>137</v>
      </c>
      <c r="D50" s="680"/>
      <c r="E50" s="680"/>
      <c r="F50" s="680"/>
      <c r="G50" s="681"/>
      <c r="H50" s="378" t="s">
        <v>32</v>
      </c>
      <c r="I50" s="378" t="s">
        <v>39</v>
      </c>
      <c r="J50" s="379" t="s">
        <v>0</v>
      </c>
      <c r="K50" s="195"/>
      <c r="L50" s="195"/>
      <c r="N50" s="362"/>
      <c r="O50" s="246"/>
      <c r="Q50" s="189"/>
      <c r="S50" s="195"/>
      <c r="T50" s="195"/>
      <c r="U50" s="195"/>
      <c r="W50" s="195"/>
      <c r="X50" s="218"/>
      <c r="Y50" s="401" t="str">
        <f>G3</f>
        <v>(9D,A9D)</v>
      </c>
    </row>
    <row r="51" spans="1:26" ht="18.75" customHeight="1" thickBot="1" x14ac:dyDescent="0.2">
      <c r="B51" s="195"/>
      <c r="C51" s="719" t="s">
        <v>225</v>
      </c>
      <c r="D51" s="238" t="s">
        <v>12</v>
      </c>
      <c r="E51" s="238"/>
      <c r="F51" s="238"/>
      <c r="G51" s="402"/>
      <c r="H51" s="403"/>
      <c r="I51" s="238"/>
      <c r="J51" s="404"/>
      <c r="L51" s="195"/>
      <c r="N51" s="362"/>
      <c r="O51" s="246"/>
      <c r="Q51" s="189"/>
      <c r="S51" s="195"/>
      <c r="T51" s="195"/>
      <c r="U51" s="195"/>
      <c r="W51" s="195"/>
      <c r="Y51" s="405">
        <f>$Q$42</f>
        <v>167000</v>
      </c>
    </row>
    <row r="52" spans="1:26" ht="18.75" customHeight="1" thickBot="1" x14ac:dyDescent="0.2">
      <c r="B52" s="195"/>
      <c r="C52" s="719"/>
      <c r="D52" s="195"/>
      <c r="E52" s="271" t="s">
        <v>11</v>
      </c>
      <c r="F52" s="272"/>
      <c r="G52" s="406" t="s">
        <v>34</v>
      </c>
      <c r="H52" s="274">
        <f t="shared" ref="H52:I55" si="3">H28</f>
        <v>8600</v>
      </c>
      <c r="I52" s="407">
        <f t="shared" si="3"/>
        <v>1</v>
      </c>
      <c r="J52" s="408">
        <f>H52*I52</f>
        <v>8600</v>
      </c>
      <c r="L52" s="195"/>
      <c r="N52" s="362"/>
      <c r="O52" s="246"/>
      <c r="Q52" s="189"/>
      <c r="S52" s="195"/>
      <c r="T52" s="195"/>
      <c r="U52" s="195"/>
      <c r="W52" s="409" t="s">
        <v>255</v>
      </c>
    </row>
    <row r="53" spans="1:26" ht="18.75" customHeight="1" x14ac:dyDescent="0.15">
      <c r="B53" s="195"/>
      <c r="C53" s="719"/>
      <c r="D53" s="270"/>
      <c r="E53" s="271" t="s">
        <v>35</v>
      </c>
      <c r="F53" s="272"/>
      <c r="G53" s="406" t="s">
        <v>34</v>
      </c>
      <c r="H53" s="274">
        <f t="shared" si="3"/>
        <v>9440</v>
      </c>
      <c r="I53" s="410">
        <f t="shared" si="3"/>
        <v>9</v>
      </c>
      <c r="J53" s="408">
        <f>H53*I53</f>
        <v>84960</v>
      </c>
      <c r="L53" s="195"/>
      <c r="N53" s="362"/>
      <c r="O53" s="246"/>
      <c r="W53" s="294" t="s">
        <v>212</v>
      </c>
    </row>
    <row r="54" spans="1:26" ht="18.75" customHeight="1" thickBot="1" x14ac:dyDescent="0.2">
      <c r="B54" s="195"/>
      <c r="C54" s="719"/>
      <c r="D54" s="195"/>
      <c r="E54" s="264" t="s">
        <v>36</v>
      </c>
      <c r="F54" s="411"/>
      <c r="G54" s="412" t="s">
        <v>30</v>
      </c>
      <c r="H54" s="291">
        <f t="shared" si="3"/>
        <v>0</v>
      </c>
      <c r="I54" s="413">
        <f t="shared" si="3"/>
        <v>0</v>
      </c>
      <c r="J54" s="414">
        <f>H54*I54</f>
        <v>0</v>
      </c>
      <c r="L54" s="195"/>
      <c r="N54" s="362"/>
      <c r="O54" s="246"/>
      <c r="W54" s="415">
        <f>$V$38-$V$48+U40</f>
        <v>505125</v>
      </c>
    </row>
    <row r="55" spans="1:26" ht="18.75" customHeight="1" x14ac:dyDescent="0.15">
      <c r="B55" s="195"/>
      <c r="C55" s="719"/>
      <c r="D55" s="245"/>
      <c r="E55" s="416"/>
      <c r="F55" s="417"/>
      <c r="G55" s="418" t="s">
        <v>37</v>
      </c>
      <c r="H55" s="304">
        <f t="shared" si="3"/>
        <v>0</v>
      </c>
      <c r="I55" s="419">
        <f t="shared" si="3"/>
        <v>0</v>
      </c>
      <c r="J55" s="420">
        <f>H55*I55</f>
        <v>0</v>
      </c>
      <c r="L55" s="195"/>
      <c r="N55" s="362"/>
      <c r="O55" s="246"/>
      <c r="W55" s="277" t="str">
        <f>IF(W54&lt;0,Y55,Y56)</f>
        <v>AOTSから企業へお支払いいたします</v>
      </c>
      <c r="Y55" s="421" t="s">
        <v>260</v>
      </c>
    </row>
    <row r="56" spans="1:26" ht="18.75" customHeight="1" thickBot="1" x14ac:dyDescent="0.2">
      <c r="A56" s="422"/>
      <c r="B56" s="195"/>
      <c r="C56" s="720"/>
      <c r="D56" s="423" t="s">
        <v>33</v>
      </c>
      <c r="E56" s="423"/>
      <c r="F56" s="423"/>
      <c r="G56" s="424" t="s">
        <v>30</v>
      </c>
      <c r="H56" s="425">
        <f>IF(【実地研修中の宿泊】=1,$H$32,0)</f>
        <v>8600</v>
      </c>
      <c r="I56" s="426">
        <f>IF(H56=0,0,$I$32)</f>
        <v>341</v>
      </c>
      <c r="J56" s="427">
        <f>H56*I56</f>
        <v>2932600</v>
      </c>
      <c r="L56" s="195"/>
      <c r="N56" s="362"/>
      <c r="O56" s="246"/>
      <c r="Q56" s="189"/>
      <c r="R56" s="189"/>
      <c r="S56" s="189"/>
      <c r="T56" s="189"/>
      <c r="U56" s="189"/>
      <c r="V56" s="189"/>
      <c r="W56" s="189"/>
      <c r="X56" s="189"/>
      <c r="Y56" s="421" t="s">
        <v>256</v>
      </c>
      <c r="Z56" s="189"/>
    </row>
    <row r="57" spans="1:26" ht="18.75" customHeight="1" thickBot="1" x14ac:dyDescent="0.2">
      <c r="A57" s="195"/>
      <c r="B57" s="195"/>
      <c r="C57" s="682" t="s">
        <v>146</v>
      </c>
      <c r="D57" s="683"/>
      <c r="E57" s="683"/>
      <c r="F57" s="683"/>
      <c r="G57" s="683"/>
      <c r="H57" s="683"/>
      <c r="I57" s="684"/>
      <c r="J57" s="428">
        <f>SUM(J52:J56)</f>
        <v>3026160</v>
      </c>
      <c r="K57" s="397" t="s">
        <v>236</v>
      </c>
      <c r="N57" s="399"/>
      <c r="O57" s="246"/>
    </row>
    <row r="58" spans="1:26" ht="16.5" customHeight="1" x14ac:dyDescent="0.15">
      <c r="B58" s="238"/>
      <c r="C58" s="429"/>
      <c r="D58" s="429"/>
      <c r="E58" s="429"/>
      <c r="F58" s="429"/>
      <c r="G58" s="429"/>
      <c r="H58" s="429"/>
      <c r="I58" s="429"/>
      <c r="J58" s="430"/>
      <c r="K58" s="238"/>
      <c r="L58" s="431"/>
      <c r="M58" s="422"/>
      <c r="N58" s="432"/>
      <c r="Q58" s="189"/>
      <c r="R58" s="189"/>
      <c r="S58" s="189"/>
      <c r="T58" s="189"/>
      <c r="U58" s="189"/>
      <c r="V58" s="189"/>
      <c r="W58" s="189"/>
      <c r="X58" s="189"/>
      <c r="Y58" s="189"/>
      <c r="Z58" s="189"/>
    </row>
    <row r="59" spans="1:26" ht="16.5" customHeight="1" x14ac:dyDescent="0.15">
      <c r="B59" s="189" t="s">
        <v>261</v>
      </c>
      <c r="Q59" s="189"/>
      <c r="R59" s="189"/>
      <c r="S59" s="189"/>
      <c r="T59" s="189"/>
      <c r="U59" s="189"/>
      <c r="V59" s="189"/>
      <c r="W59" s="189"/>
      <c r="X59" s="189"/>
      <c r="Y59" s="189"/>
      <c r="Z59" s="189"/>
    </row>
    <row r="60" spans="1:26" ht="16.5" customHeight="1" x14ac:dyDescent="0.15">
      <c r="Q60" s="189"/>
      <c r="R60" s="189"/>
      <c r="S60" s="189"/>
      <c r="T60" s="189"/>
      <c r="U60" s="189"/>
      <c r="V60" s="189"/>
      <c r="W60" s="189"/>
      <c r="X60" s="189"/>
      <c r="Y60" s="189"/>
      <c r="Z60" s="189"/>
    </row>
    <row r="61" spans="1:26" ht="17.100000000000001" customHeight="1" x14ac:dyDescent="0.15">
      <c r="O61" s="246"/>
      <c r="P61" s="246"/>
      <c r="X61" s="189"/>
      <c r="Y61" s="189"/>
      <c r="Z61" s="189"/>
    </row>
    <row r="62" spans="1:26" ht="17.100000000000001" customHeight="1" x14ac:dyDescent="0.15">
      <c r="Q62" s="189"/>
      <c r="R62" s="189"/>
      <c r="S62" s="189"/>
      <c r="T62" s="189"/>
      <c r="U62" s="189"/>
      <c r="V62" s="189"/>
      <c r="W62" s="189"/>
      <c r="Z62" s="189"/>
    </row>
    <row r="63" spans="1:26" ht="15" customHeight="1" x14ac:dyDescent="0.15">
      <c r="Q63" s="189"/>
      <c r="R63" s="189"/>
      <c r="S63" s="189"/>
      <c r="T63" s="189"/>
      <c r="U63" s="189"/>
      <c r="V63" s="189"/>
      <c r="W63" s="189"/>
      <c r="X63" s="189"/>
      <c r="Y63" s="189"/>
    </row>
    <row r="64" spans="1:26" ht="13.5" customHeight="1" x14ac:dyDescent="0.15">
      <c r="O64" s="189"/>
      <c r="P64" s="189"/>
      <c r="X64" s="189"/>
      <c r="Y64" s="189"/>
      <c r="Z64" s="189"/>
    </row>
    <row r="65" spans="15:26" ht="13.5" customHeight="1" x14ac:dyDescent="0.15">
      <c r="O65" s="189"/>
      <c r="P65" s="189"/>
      <c r="Z65" s="189"/>
    </row>
  </sheetData>
  <sheetProtection sheet="1" objects="1" scenarios="1" formatCells="0"/>
  <mergeCells count="58">
    <mergeCell ref="C57:I57"/>
    <mergeCell ref="C46:I46"/>
    <mergeCell ref="F5:I5"/>
    <mergeCell ref="K24:L24"/>
    <mergeCell ref="M38:N38"/>
    <mergeCell ref="J24:J25"/>
    <mergeCell ref="I24:I25"/>
    <mergeCell ref="B24:G25"/>
    <mergeCell ref="H24:H25"/>
    <mergeCell ref="C27:C34"/>
    <mergeCell ref="K38:L38"/>
    <mergeCell ref="M24:N24"/>
    <mergeCell ref="B22:N23"/>
    <mergeCell ref="C51:C56"/>
    <mergeCell ref="C50:G50"/>
    <mergeCell ref="C43:C45"/>
    <mergeCell ref="C42:G42"/>
    <mergeCell ref="B37:I37"/>
    <mergeCell ref="B40:J41"/>
    <mergeCell ref="B48:J49"/>
    <mergeCell ref="J8:L9"/>
    <mergeCell ref="F9:G9"/>
    <mergeCell ref="F16:G16"/>
    <mergeCell ref="I8:I9"/>
    <mergeCell ref="L17:L18"/>
    <mergeCell ref="B26:B35"/>
    <mergeCell ref="K33:L33"/>
    <mergeCell ref="K34:L34"/>
    <mergeCell ref="K36:L36"/>
    <mergeCell ref="K35:L35"/>
    <mergeCell ref="K37:L37"/>
    <mergeCell ref="K32:L32"/>
    <mergeCell ref="M17:M18"/>
    <mergeCell ref="N17:N18"/>
    <mergeCell ref="K26:L26"/>
    <mergeCell ref="K27:L27"/>
    <mergeCell ref="M31:N31"/>
    <mergeCell ref="K28:L28"/>
    <mergeCell ref="M26:N26"/>
    <mergeCell ref="M27:N27"/>
    <mergeCell ref="M28:N28"/>
    <mergeCell ref="M29:N29"/>
    <mergeCell ref="M30:N30"/>
    <mergeCell ref="K31:L31"/>
    <mergeCell ref="K29:L29"/>
    <mergeCell ref="K30:L30"/>
    <mergeCell ref="U19:V19"/>
    <mergeCell ref="M36:N36"/>
    <mergeCell ref="M37:N37"/>
    <mergeCell ref="M32:N32"/>
    <mergeCell ref="M33:N33"/>
    <mergeCell ref="M35:N35"/>
    <mergeCell ref="M34:N34"/>
    <mergeCell ref="M4:N4"/>
    <mergeCell ref="M3:N3"/>
    <mergeCell ref="U11:V11"/>
    <mergeCell ref="U15:V15"/>
    <mergeCell ref="U8:V8"/>
  </mergeCells>
  <phoneticPr fontId="2"/>
  <conditionalFormatting sqref="M11 M17">
    <cfRule type="cellIs" dxfId="29" priority="2" stopIfTrue="1" operator="equal">
      <formula>0</formula>
    </cfRule>
  </conditionalFormatting>
  <conditionalFormatting sqref="M26:N26">
    <cfRule type="cellIs" dxfId="28" priority="1" operator="greaterThan">
      <formula>0</formula>
    </cfRule>
  </conditionalFormatting>
  <dataValidations disablePrompts="1" xWindow="403" yWindow="205" count="2">
    <dataValidation imeMode="off" allowBlank="1" showInputMessage="1" showErrorMessage="1" sqref="M9:M10 M14:M16 H16 G15 F12"/>
    <dataValidation type="date" imeMode="off" operator="greaterThanOrEqual" allowBlank="1" showErrorMessage="1" sqref="M3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80" orientation="landscape" r:id="rId1"/>
  <headerFooter alignWithMargins="0">
    <oddHeader>&amp;R費用試算（9D, A9D）：2020年度版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30" r:id="rId4" name="Drop Down 82">
              <controlPr defaultSize="0" autoLine="0" autoPict="0">
                <anchor moveWithCells="1">
                  <from>
                    <xdr:col>4</xdr:col>
                    <xdr:colOff>476250</xdr:colOff>
                    <xdr:row>12</xdr:row>
                    <xdr:rowOff>47625</xdr:rowOff>
                  </from>
                  <to>
                    <xdr:col>8</xdr:col>
                    <xdr:colOff>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5" name="Drop Down 185">
              <controlPr defaultSize="0" autoLine="0" autoPict="0">
                <anchor moveWithCells="1">
                  <from>
                    <xdr:col>10</xdr:col>
                    <xdr:colOff>285750</xdr:colOff>
                    <xdr:row>7</xdr:row>
                    <xdr:rowOff>123825</xdr:rowOff>
                  </from>
                  <to>
                    <xdr:col>12</xdr:col>
                    <xdr:colOff>47625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6" name="Drop Down 521">
              <controlPr defaultSize="0" autoLine="0" autoPict="0">
                <anchor moveWithCells="1">
                  <from>
                    <xdr:col>5</xdr:col>
                    <xdr:colOff>0</xdr:colOff>
                    <xdr:row>6</xdr:row>
                    <xdr:rowOff>9525</xdr:rowOff>
                  </from>
                  <to>
                    <xdr:col>12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49"/>
  <sheetViews>
    <sheetView showGridLines="0" view="pageBreakPreview" zoomScale="80" zoomScaleNormal="90" zoomScaleSheetLayoutView="80" workbookViewId="0"/>
  </sheetViews>
  <sheetFormatPr defaultRowHeight="13.5" customHeight="1" x14ac:dyDescent="0.15"/>
  <cols>
    <col min="1" max="1" width="5.125" style="422" customWidth="1"/>
    <col min="2" max="2" width="3.5" style="422" customWidth="1"/>
    <col min="3" max="3" width="9.625" style="422" customWidth="1"/>
    <col min="4" max="4" width="13.625" style="422" customWidth="1"/>
    <col min="5" max="5" width="13.625" style="422" bestFit="1" customWidth="1"/>
    <col min="6" max="6" width="7.625" style="422" customWidth="1"/>
    <col min="7" max="7" width="8.875" style="422" customWidth="1"/>
    <col min="8" max="8" width="7.625" style="422" customWidth="1"/>
    <col min="9" max="9" width="8.25" style="422" customWidth="1"/>
    <col min="10" max="10" width="7.625" style="422" customWidth="1"/>
    <col min="11" max="11" width="8.375" style="422" customWidth="1"/>
    <col min="12" max="12" width="7.625" style="422" customWidth="1"/>
    <col min="13" max="13" width="8.375" style="422" customWidth="1"/>
    <col min="14" max="14" width="7.625" style="422" customWidth="1"/>
    <col min="15" max="15" width="8.375" style="422" customWidth="1"/>
    <col min="16" max="16" width="7.625" style="422" customWidth="1"/>
    <col min="17" max="17" width="8.25" style="422" customWidth="1"/>
    <col min="18" max="18" width="7.625" style="422" customWidth="1"/>
    <col min="19" max="19" width="8.25" style="422" customWidth="1"/>
    <col min="20" max="20" width="7.625" style="422" customWidth="1"/>
    <col min="21" max="21" width="8.25" style="422" customWidth="1"/>
    <col min="22" max="22" width="7.625" style="422" customWidth="1"/>
    <col min="23" max="23" width="8.25" style="422" customWidth="1"/>
    <col min="24" max="24" width="7.625" style="422" customWidth="1"/>
    <col min="25" max="25" width="8.25" style="422" customWidth="1"/>
    <col min="26" max="26" width="7.625" style="422" customWidth="1"/>
    <col min="27" max="27" width="8.25" style="422" customWidth="1"/>
    <col min="28" max="28" width="7.625" style="422" customWidth="1"/>
    <col min="29" max="29" width="8.25" style="422" customWidth="1"/>
    <col min="30" max="30" width="7.625" style="422" customWidth="1"/>
    <col min="31" max="31" width="8.125" style="422" customWidth="1"/>
    <col min="32" max="32" width="9.375" style="422" bestFit="1" customWidth="1"/>
    <col min="33" max="16384" width="9" style="422"/>
  </cols>
  <sheetData>
    <row r="1" spans="1:32" s="189" customFormat="1" ht="21" customHeight="1" x14ac:dyDescent="0.15">
      <c r="A1" s="188" t="s">
        <v>118</v>
      </c>
      <c r="E1" s="433" t="s">
        <v>76</v>
      </c>
      <c r="F1" s="722">
        <f ca="1">'9D,A9D費用試算'!M3</f>
        <v>44019</v>
      </c>
      <c r="G1" s="722"/>
      <c r="H1" s="422"/>
      <c r="I1" s="238"/>
      <c r="J1" s="422"/>
      <c r="K1" s="422"/>
      <c r="L1" s="422"/>
      <c r="M1" s="422"/>
      <c r="N1" s="422"/>
    </row>
    <row r="2" spans="1:32" s="189" customFormat="1" ht="21" customHeight="1" x14ac:dyDescent="0.15">
      <c r="I2" s="195"/>
    </row>
    <row r="3" spans="1:32" s="189" customFormat="1" ht="21" customHeight="1" x14ac:dyDescent="0.15">
      <c r="B3" s="195"/>
      <c r="C3" s="195"/>
      <c r="E3" s="434" t="s">
        <v>55</v>
      </c>
      <c r="F3" s="221" t="str">
        <f>"一般研修"&amp;'9D,A9D費用試算'!G3</f>
        <v>一般研修(9D,A9D)</v>
      </c>
      <c r="G3" s="1"/>
      <c r="H3" s="221" t="str">
        <f>'9D,A9D計算シート'!$C$7</f>
        <v>2020/04/15～2020/04/23(9日・KKC)</v>
      </c>
      <c r="K3" s="195"/>
    </row>
    <row r="4" spans="1:32" s="189" customFormat="1" ht="21" customHeight="1" x14ac:dyDescent="0.15">
      <c r="A4" s="195"/>
      <c r="B4" s="723"/>
      <c r="C4" s="723"/>
      <c r="E4" s="221"/>
      <c r="F4" s="221" t="s">
        <v>75</v>
      </c>
      <c r="G4" s="1"/>
      <c r="H4" s="435" t="str">
        <f>IF('9D,A9D計算シート'!$C$13=0,"(0日)",'9D,A9D費用試算'!$F$14)</f>
        <v>2020/4/24～2021/3/30(341日)</v>
      </c>
      <c r="K4" s="195"/>
      <c r="L4" s="195"/>
    </row>
    <row r="5" spans="1:32" s="189" customFormat="1" ht="13.5" customHeight="1" thickBot="1" x14ac:dyDescent="0.2">
      <c r="E5" s="238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</row>
    <row r="6" spans="1:32" s="189" customFormat="1" ht="21" customHeight="1" x14ac:dyDescent="0.15">
      <c r="E6" s="436"/>
      <c r="F6" s="744" t="str">
        <f>IF(F7="","","1ヶ月目")</f>
        <v>1ヶ月目</v>
      </c>
      <c r="G6" s="743"/>
      <c r="H6" s="742" t="str">
        <f>IF(H7="","","2ヶ月目")</f>
        <v>2ヶ月目</v>
      </c>
      <c r="I6" s="743"/>
      <c r="J6" s="742" t="str">
        <f>IF(J7="","","3ヶ月目")</f>
        <v>3ヶ月目</v>
      </c>
      <c r="K6" s="743"/>
      <c r="L6" s="742" t="str">
        <f>IF(L7="","","4ヶ月目")</f>
        <v>4ヶ月目</v>
      </c>
      <c r="M6" s="743"/>
      <c r="N6" s="742" t="str">
        <f>IF(N7="","","5ヶ月目")</f>
        <v>5ヶ月目</v>
      </c>
      <c r="O6" s="743"/>
      <c r="P6" s="742" t="str">
        <f>IF(P7="","","6ヶ月目")</f>
        <v>6ヶ月目</v>
      </c>
      <c r="Q6" s="743"/>
      <c r="R6" s="742" t="str">
        <f>IF(R7="","","7ヶ月目")</f>
        <v>7ヶ月目</v>
      </c>
      <c r="S6" s="743"/>
      <c r="T6" s="742" t="str">
        <f>IF(T7="","","8ヶ月目")</f>
        <v>8ヶ月目</v>
      </c>
      <c r="U6" s="743"/>
      <c r="V6" s="742" t="str">
        <f>IF(V7="","","9ヶ月目")</f>
        <v>9ヶ月目</v>
      </c>
      <c r="W6" s="743"/>
      <c r="X6" s="742" t="str">
        <f>IF(X7="","","10ヶ月目")</f>
        <v>10ヶ月目</v>
      </c>
      <c r="Y6" s="743"/>
      <c r="Z6" s="742" t="str">
        <f>IF(Z7="","","11ヶ月目")</f>
        <v>11ヶ月目</v>
      </c>
      <c r="AA6" s="743"/>
      <c r="AB6" s="742" t="str">
        <f>IF(AB7="","","12ヶ月目")</f>
        <v>12ヶ月目</v>
      </c>
      <c r="AC6" s="743"/>
      <c r="AD6" s="742" t="str">
        <f>IF(AD7="","","13ヶ月目")</f>
        <v/>
      </c>
      <c r="AE6" s="777"/>
      <c r="AF6" s="772" t="s">
        <v>5</v>
      </c>
    </row>
    <row r="7" spans="1:32" s="189" customFormat="1" ht="21" customHeight="1" x14ac:dyDescent="0.15">
      <c r="E7" s="437" t="s">
        <v>53</v>
      </c>
      <c r="F7" s="750" t="str">
        <f>IF(F10=0,"",YEAR('9D,A9D計算シート'!$P15)&amp;"年"&amp;MONTH('9D,A9D計算シート'!$P15)&amp;"月")</f>
        <v>2020年4月</v>
      </c>
      <c r="G7" s="741"/>
      <c r="H7" s="740" t="str">
        <f>IF(H10=0,"",IF(MONTH('9D,A9D計算シート'!$P15)=12,YEAR('9D,A9D計算シート'!$P16)&amp;"年"&amp;MONTH('9D,A9D計算シート'!$P16)&amp;"月",MONTH('9D,A9D計算シート'!$P16)&amp;"月"))</f>
        <v>5月</v>
      </c>
      <c r="I7" s="741"/>
      <c r="J7" s="740" t="str">
        <f>IF(J10=0,"",IF(MONTH('9D,A9D計算シート'!$P16)=12,YEAR('9D,A9D計算シート'!$P17)&amp;"年"&amp;MONTH('9D,A9D計算シート'!$P17)&amp;"月",MONTH('9D,A9D計算シート'!$P17)&amp;"月"))</f>
        <v>6月</v>
      </c>
      <c r="K7" s="741"/>
      <c r="L7" s="740" t="str">
        <f>IF(L10=0,"",IF(MONTH('9D,A9D計算シート'!$P17)=12,YEAR('9D,A9D計算シート'!$P18)&amp;"年"&amp;MONTH('9D,A9D計算シート'!$P18)&amp;"月",MONTH('9D,A9D計算シート'!$P18)&amp;"月"))</f>
        <v>7月</v>
      </c>
      <c r="M7" s="741"/>
      <c r="N7" s="740" t="str">
        <f>IF(N10=0,"",IF(MONTH('9D,A9D計算シート'!$P18)=12,YEAR('9D,A9D計算シート'!$P19)&amp;"年"&amp;MONTH('9D,A9D計算シート'!$P19)&amp;"月",MONTH('9D,A9D計算シート'!$P19)&amp;"月"))</f>
        <v>8月</v>
      </c>
      <c r="O7" s="741"/>
      <c r="P7" s="740" t="str">
        <f>IF(P10=0,"",IF(MONTH('9D,A9D計算シート'!$P19)=12,YEAR('9D,A9D計算シート'!$P20)&amp;"年"&amp;MONTH('9D,A9D計算シート'!$P20)&amp;"月",MONTH('9D,A9D計算シート'!$P20)&amp;"月"))</f>
        <v>9月</v>
      </c>
      <c r="Q7" s="741"/>
      <c r="R7" s="740" t="str">
        <f>IF(R10=0,"",IF(MONTH('9D,A9D計算シート'!$P20)=12,YEAR('9D,A9D計算シート'!$P21)&amp;"年"&amp;MONTH('9D,A9D計算シート'!$P21)&amp;"月",MONTH('9D,A9D計算シート'!$P21)&amp;"月"))</f>
        <v>10月</v>
      </c>
      <c r="S7" s="741"/>
      <c r="T7" s="740" t="str">
        <f>IF(T10=0,"",IF(MONTH('9D,A9D計算シート'!$P21)=12,YEAR('9D,A9D計算シート'!$P22)&amp;"年"&amp;MONTH('9D,A9D計算シート'!$P22)&amp;"月",MONTH('9D,A9D計算シート'!$P22)&amp;"月"))</f>
        <v>11月</v>
      </c>
      <c r="U7" s="741"/>
      <c r="V7" s="740" t="str">
        <f>IF(V10=0,"",IF(MONTH('9D,A9D計算シート'!$P22)=12,YEAR('9D,A9D計算シート'!$P23)&amp;"年"&amp;MONTH('9D,A9D計算シート'!$P23)&amp;"月",MONTH('9D,A9D計算シート'!$P23)&amp;"月"))</f>
        <v>12月</v>
      </c>
      <c r="W7" s="741"/>
      <c r="X7" s="740" t="str">
        <f>IF(X10=0,"",IF(MONTH('9D,A9D計算シート'!$P23)=12,YEAR('9D,A9D計算シート'!$P24)&amp;"年"&amp;MONTH('9D,A9D計算シート'!$P24)&amp;"月",MONTH('9D,A9D計算シート'!$P24)&amp;"月"))</f>
        <v>2021年1月</v>
      </c>
      <c r="Y7" s="741"/>
      <c r="Z7" s="740" t="str">
        <f>IF(Z10=0,"",IF(MONTH('9D,A9D計算シート'!$P24)=12,YEAR('9D,A9D計算シート'!$P25)&amp;"年"&amp;MONTH('9D,A9D計算シート'!$P25)&amp;"月",MONTH('9D,A9D計算シート'!$P25)&amp;"月"))</f>
        <v>2月</v>
      </c>
      <c r="AA7" s="741"/>
      <c r="AB7" s="740" t="str">
        <f>IF(AB10=0,"",IF(MONTH('9D,A9D計算シート'!$P25)=12,YEAR('9D,A9D計算シート'!$P26)&amp;"年"&amp;MONTH('9D,A9D計算シート'!$P26)&amp;"月",MONTH('9D,A9D計算シート'!$P26)&amp;"月"))</f>
        <v>3月</v>
      </c>
      <c r="AC7" s="741"/>
      <c r="AD7" s="740" t="str">
        <f>IF(AD10=0,"",IF(MONTH('9D,A9D計算シート'!$P26)=12,YEAR('9D,A9D計算シート'!$P27)&amp;"年"&amp;MONTH('9D,A9D計算シート'!$P27)&amp;"月",MONTH('9D,A9D計算シート'!$P27)&amp;"月"))</f>
        <v/>
      </c>
      <c r="AE7" s="741"/>
      <c r="AF7" s="773"/>
    </row>
    <row r="8" spans="1:32" s="189" customFormat="1" ht="21" customHeight="1" x14ac:dyDescent="0.15">
      <c r="E8" s="438" t="s">
        <v>6</v>
      </c>
      <c r="F8" s="439">
        <f>'9D,A9D計算シート'!T15</f>
        <v>10</v>
      </c>
      <c r="G8" s="440" t="s">
        <v>51</v>
      </c>
      <c r="H8" s="441">
        <f>'9D,A9D計算シート'!T16</f>
        <v>0</v>
      </c>
      <c r="I8" s="440" t="s">
        <v>51</v>
      </c>
      <c r="J8" s="441">
        <f>'9D,A9D計算シート'!T17</f>
        <v>0</v>
      </c>
      <c r="K8" s="440" t="s">
        <v>51</v>
      </c>
      <c r="L8" s="441">
        <f>'9D,A9D計算シート'!T18</f>
        <v>0</v>
      </c>
      <c r="M8" s="440" t="s">
        <v>51</v>
      </c>
      <c r="N8" s="441">
        <f>'9D,A9D計算シート'!T19</f>
        <v>0</v>
      </c>
      <c r="O8" s="440" t="s">
        <v>51</v>
      </c>
      <c r="P8" s="441">
        <f>'9D,A9D計算シート'!T20</f>
        <v>0</v>
      </c>
      <c r="Q8" s="440" t="s">
        <v>51</v>
      </c>
      <c r="R8" s="441">
        <f>'9D,A9D計算シート'!T21</f>
        <v>0</v>
      </c>
      <c r="S8" s="440" t="s">
        <v>51</v>
      </c>
      <c r="T8" s="441">
        <f>'9D,A9D計算シート'!T22</f>
        <v>0</v>
      </c>
      <c r="U8" s="440" t="s">
        <v>51</v>
      </c>
      <c r="V8" s="441">
        <f>'9D,A9D計算シート'!T23</f>
        <v>0</v>
      </c>
      <c r="W8" s="440" t="s">
        <v>51</v>
      </c>
      <c r="X8" s="441">
        <f>'9D,A9D計算シート'!T24</f>
        <v>0</v>
      </c>
      <c r="Y8" s="440" t="s">
        <v>51</v>
      </c>
      <c r="Z8" s="441">
        <f>'9D,A9D計算シート'!T25</f>
        <v>0</v>
      </c>
      <c r="AA8" s="440" t="s">
        <v>51</v>
      </c>
      <c r="AB8" s="441">
        <f>'9D,A9D計算シート'!T26</f>
        <v>0</v>
      </c>
      <c r="AC8" s="440" t="s">
        <v>51</v>
      </c>
      <c r="AD8" s="441">
        <f>'9D,A9D計算シート'!T27</f>
        <v>0</v>
      </c>
      <c r="AE8" s="28" t="s">
        <v>51</v>
      </c>
      <c r="AF8" s="442">
        <f>SUM(F8:AE8)</f>
        <v>10</v>
      </c>
    </row>
    <row r="9" spans="1:32" s="189" customFormat="1" ht="21" customHeight="1" x14ac:dyDescent="0.15">
      <c r="E9" s="443" t="s">
        <v>7</v>
      </c>
      <c r="F9" s="444">
        <f>'9D,A9D計算シート'!U15</f>
        <v>7</v>
      </c>
      <c r="G9" s="445" t="s">
        <v>51</v>
      </c>
      <c r="H9" s="446">
        <f>'9D,A9D計算シート'!U16</f>
        <v>31</v>
      </c>
      <c r="I9" s="445" t="s">
        <v>51</v>
      </c>
      <c r="J9" s="446">
        <f>'9D,A9D計算シート'!U17</f>
        <v>30</v>
      </c>
      <c r="K9" s="445" t="s">
        <v>51</v>
      </c>
      <c r="L9" s="446">
        <f>'9D,A9D計算シート'!U18</f>
        <v>31</v>
      </c>
      <c r="M9" s="445" t="s">
        <v>51</v>
      </c>
      <c r="N9" s="446">
        <f>'9D,A9D計算シート'!U19</f>
        <v>31</v>
      </c>
      <c r="O9" s="445" t="s">
        <v>51</v>
      </c>
      <c r="P9" s="446">
        <f>'9D,A9D計算シート'!U20</f>
        <v>30</v>
      </c>
      <c r="Q9" s="445" t="s">
        <v>51</v>
      </c>
      <c r="R9" s="446">
        <f>'9D,A9D計算シート'!U21</f>
        <v>31</v>
      </c>
      <c r="S9" s="445" t="s">
        <v>51</v>
      </c>
      <c r="T9" s="446">
        <f>'9D,A9D計算シート'!U22</f>
        <v>30</v>
      </c>
      <c r="U9" s="445" t="s">
        <v>51</v>
      </c>
      <c r="V9" s="446">
        <f>'9D,A9D計算シート'!U23</f>
        <v>31</v>
      </c>
      <c r="W9" s="445" t="s">
        <v>51</v>
      </c>
      <c r="X9" s="446">
        <f>'9D,A9D計算シート'!U24</f>
        <v>31</v>
      </c>
      <c r="Y9" s="445" t="s">
        <v>51</v>
      </c>
      <c r="Z9" s="446">
        <f>'9D,A9D計算シート'!U25</f>
        <v>28</v>
      </c>
      <c r="AA9" s="445" t="s">
        <v>51</v>
      </c>
      <c r="AB9" s="446">
        <f>'9D,A9D計算シート'!U26</f>
        <v>30</v>
      </c>
      <c r="AC9" s="445" t="s">
        <v>51</v>
      </c>
      <c r="AD9" s="446">
        <f>'9D,A9D計算シート'!U27</f>
        <v>0</v>
      </c>
      <c r="AE9" s="447" t="s">
        <v>51</v>
      </c>
      <c r="AF9" s="448">
        <f>SUM(F9:AE9)</f>
        <v>341</v>
      </c>
    </row>
    <row r="10" spans="1:32" s="189" customFormat="1" ht="21" customHeight="1" thickBot="1" x14ac:dyDescent="0.2">
      <c r="E10" s="449" t="s">
        <v>26</v>
      </c>
      <c r="F10" s="450">
        <f>'9D,A9D計算シート'!S15</f>
        <v>17</v>
      </c>
      <c r="G10" s="451" t="s">
        <v>51</v>
      </c>
      <c r="H10" s="452">
        <f>'9D,A9D計算シート'!S16</f>
        <v>31</v>
      </c>
      <c r="I10" s="451" t="s">
        <v>51</v>
      </c>
      <c r="J10" s="452">
        <f>'9D,A9D計算シート'!S17</f>
        <v>30</v>
      </c>
      <c r="K10" s="451" t="s">
        <v>51</v>
      </c>
      <c r="L10" s="452">
        <f>'9D,A9D計算シート'!S18</f>
        <v>31</v>
      </c>
      <c r="M10" s="451" t="s">
        <v>51</v>
      </c>
      <c r="N10" s="452">
        <f>'9D,A9D計算シート'!S19</f>
        <v>31</v>
      </c>
      <c r="O10" s="451" t="s">
        <v>51</v>
      </c>
      <c r="P10" s="452">
        <f>'9D,A9D計算シート'!S20</f>
        <v>30</v>
      </c>
      <c r="Q10" s="451" t="s">
        <v>51</v>
      </c>
      <c r="R10" s="452">
        <f>'9D,A9D計算シート'!S21</f>
        <v>31</v>
      </c>
      <c r="S10" s="451" t="s">
        <v>51</v>
      </c>
      <c r="T10" s="452">
        <f>'9D,A9D計算シート'!S22</f>
        <v>30</v>
      </c>
      <c r="U10" s="451" t="s">
        <v>51</v>
      </c>
      <c r="V10" s="452">
        <f>'9D,A9D計算シート'!S23</f>
        <v>31</v>
      </c>
      <c r="W10" s="451" t="s">
        <v>51</v>
      </c>
      <c r="X10" s="452">
        <f>'9D,A9D計算シート'!S24</f>
        <v>31</v>
      </c>
      <c r="Y10" s="451" t="s">
        <v>51</v>
      </c>
      <c r="Z10" s="452">
        <f>'9D,A9D計算シート'!S25</f>
        <v>28</v>
      </c>
      <c r="AA10" s="451" t="s">
        <v>51</v>
      </c>
      <c r="AB10" s="452">
        <f>'9D,A9D計算シート'!S26</f>
        <v>30</v>
      </c>
      <c r="AC10" s="451" t="s">
        <v>51</v>
      </c>
      <c r="AD10" s="452">
        <f>'9D,A9D計算シート'!S27</f>
        <v>0</v>
      </c>
      <c r="AE10" s="453" t="s">
        <v>51</v>
      </c>
      <c r="AF10" s="454">
        <f>SUM(F10:AE10)</f>
        <v>351</v>
      </c>
    </row>
    <row r="11" spans="1:32" s="189" customFormat="1" ht="20.25" customHeight="1" thickBot="1" x14ac:dyDescent="0.2">
      <c r="A11" s="751" t="s">
        <v>1</v>
      </c>
      <c r="B11" s="752"/>
      <c r="C11" s="752"/>
      <c r="D11" s="753"/>
      <c r="E11" s="455" t="s">
        <v>5</v>
      </c>
      <c r="F11" s="456" t="s">
        <v>69</v>
      </c>
      <c r="G11" s="457" t="s">
        <v>31</v>
      </c>
      <c r="H11" s="458" t="s">
        <v>70</v>
      </c>
      <c r="I11" s="457" t="s">
        <v>31</v>
      </c>
      <c r="J11" s="458" t="s">
        <v>70</v>
      </c>
      <c r="K11" s="457" t="s">
        <v>31</v>
      </c>
      <c r="L11" s="458" t="s">
        <v>70</v>
      </c>
      <c r="M11" s="457" t="s">
        <v>31</v>
      </c>
      <c r="N11" s="458" t="s">
        <v>70</v>
      </c>
      <c r="O11" s="457" t="s">
        <v>31</v>
      </c>
      <c r="P11" s="459" t="s">
        <v>70</v>
      </c>
      <c r="Q11" s="457" t="s">
        <v>31</v>
      </c>
      <c r="R11" s="459" t="s">
        <v>70</v>
      </c>
      <c r="S11" s="457" t="s">
        <v>31</v>
      </c>
      <c r="T11" s="459" t="s">
        <v>70</v>
      </c>
      <c r="U11" s="457" t="s">
        <v>31</v>
      </c>
      <c r="V11" s="459" t="s">
        <v>70</v>
      </c>
      <c r="W11" s="457" t="s">
        <v>31</v>
      </c>
      <c r="X11" s="459" t="s">
        <v>70</v>
      </c>
      <c r="Y11" s="457" t="s">
        <v>31</v>
      </c>
      <c r="Z11" s="459" t="s">
        <v>70</v>
      </c>
      <c r="AA11" s="457" t="s">
        <v>31</v>
      </c>
      <c r="AB11" s="459" t="s">
        <v>70</v>
      </c>
      <c r="AC11" s="457" t="s">
        <v>31</v>
      </c>
      <c r="AD11" s="459" t="s">
        <v>70</v>
      </c>
      <c r="AE11" s="457" t="s">
        <v>31</v>
      </c>
      <c r="AF11" s="460" t="s">
        <v>116</v>
      </c>
    </row>
    <row r="12" spans="1:32" s="189" customFormat="1" ht="22.5" customHeight="1" x14ac:dyDescent="0.15">
      <c r="A12" s="763" t="s">
        <v>257</v>
      </c>
      <c r="B12" s="461" t="s">
        <v>12</v>
      </c>
      <c r="C12" s="462"/>
      <c r="D12" s="463"/>
      <c r="E12" s="464"/>
      <c r="F12" s="465"/>
      <c r="G12" s="466"/>
      <c r="H12" s="467"/>
      <c r="I12" s="466"/>
      <c r="J12" s="467"/>
      <c r="K12" s="466"/>
      <c r="L12" s="467"/>
      <c r="M12" s="466"/>
      <c r="N12" s="467"/>
      <c r="O12" s="466"/>
      <c r="P12" s="467"/>
      <c r="Q12" s="466"/>
      <c r="R12" s="467"/>
      <c r="S12" s="466"/>
      <c r="T12" s="467"/>
      <c r="U12" s="466"/>
      <c r="V12" s="467"/>
      <c r="W12" s="466"/>
      <c r="X12" s="467"/>
      <c r="Y12" s="466"/>
      <c r="Z12" s="467"/>
      <c r="AA12" s="466"/>
      <c r="AB12" s="467"/>
      <c r="AC12" s="466"/>
      <c r="AD12" s="467"/>
      <c r="AE12" s="468"/>
      <c r="AF12" s="469"/>
    </row>
    <row r="13" spans="1:32" s="189" customFormat="1" ht="30" customHeight="1" x14ac:dyDescent="0.15">
      <c r="A13" s="764"/>
      <c r="B13" s="470"/>
      <c r="C13" s="243" t="s">
        <v>47</v>
      </c>
      <c r="D13" s="471" t="s">
        <v>66</v>
      </c>
      <c r="E13" s="472">
        <f>'9D,A9D費用試算'!$J$52</f>
        <v>8600</v>
      </c>
      <c r="F13" s="473">
        <v>1</v>
      </c>
      <c r="G13" s="474">
        <f>'9D,A9D費用試算'!$H$52</f>
        <v>8600</v>
      </c>
      <c r="H13" s="475"/>
      <c r="I13" s="474"/>
      <c r="J13" s="475"/>
      <c r="K13" s="474"/>
      <c r="L13" s="475"/>
      <c r="M13" s="474"/>
      <c r="N13" s="475"/>
      <c r="O13" s="474"/>
      <c r="P13" s="475"/>
      <c r="Q13" s="474"/>
      <c r="R13" s="475"/>
      <c r="S13" s="474"/>
      <c r="T13" s="475"/>
      <c r="U13" s="474"/>
      <c r="V13" s="475"/>
      <c r="W13" s="474"/>
      <c r="X13" s="475"/>
      <c r="Y13" s="474"/>
      <c r="Z13" s="475"/>
      <c r="AA13" s="474"/>
      <c r="AB13" s="475"/>
      <c r="AC13" s="474"/>
      <c r="AD13" s="476"/>
      <c r="AE13" s="477"/>
      <c r="AF13" s="478">
        <f ca="1">SUMIF($F$11:AE13,"金額",F13:AE13)</f>
        <v>8600</v>
      </c>
    </row>
    <row r="14" spans="1:32" s="189" customFormat="1" ht="30" customHeight="1" x14ac:dyDescent="0.15">
      <c r="A14" s="764"/>
      <c r="B14" s="470"/>
      <c r="C14" s="479" t="s">
        <v>52</v>
      </c>
      <c r="D14" s="480" t="s">
        <v>67</v>
      </c>
      <c r="E14" s="481">
        <f>'9D,A9D費用試算'!$J$53</f>
        <v>84960</v>
      </c>
      <c r="F14" s="482">
        <f>F8-F13</f>
        <v>9</v>
      </c>
      <c r="G14" s="483">
        <f>'9D,A9D費用試算'!$H$53*F14</f>
        <v>84960</v>
      </c>
      <c r="H14" s="484">
        <f t="shared" ref="H14" si="0">H8-H13</f>
        <v>0</v>
      </c>
      <c r="I14" s="483">
        <f>'9D,A9D費用試算'!$H$53*H14</f>
        <v>0</v>
      </c>
      <c r="J14" s="484">
        <f t="shared" ref="J14" si="1">J8-J13</f>
        <v>0</v>
      </c>
      <c r="K14" s="483">
        <f>'9D,A9D費用試算'!$H$53*J14</f>
        <v>0</v>
      </c>
      <c r="L14" s="484">
        <f t="shared" ref="L14" si="2">L8-L13</f>
        <v>0</v>
      </c>
      <c r="M14" s="483">
        <f>'9D,A9D費用試算'!$H$53*L14</f>
        <v>0</v>
      </c>
      <c r="N14" s="484">
        <f t="shared" ref="N14" si="3">N8-N13</f>
        <v>0</v>
      </c>
      <c r="O14" s="483">
        <f>'9D,A9D費用試算'!$H$53*N14</f>
        <v>0</v>
      </c>
      <c r="P14" s="484">
        <f t="shared" ref="P14" si="4">P8-P13</f>
        <v>0</v>
      </c>
      <c r="Q14" s="483">
        <f>'9D,A9D費用試算'!$H$53*P14</f>
        <v>0</v>
      </c>
      <c r="R14" s="484">
        <f t="shared" ref="R14" si="5">R8-R13</f>
        <v>0</v>
      </c>
      <c r="S14" s="483">
        <f>'9D,A9D費用試算'!$H$53*R14</f>
        <v>0</v>
      </c>
      <c r="T14" s="484">
        <f t="shared" ref="T14" si="6">T8-T13</f>
        <v>0</v>
      </c>
      <c r="U14" s="483">
        <f>'9D,A9D費用試算'!$H$53*T14</f>
        <v>0</v>
      </c>
      <c r="V14" s="484">
        <f t="shared" ref="V14" si="7">V8-V13</f>
        <v>0</v>
      </c>
      <c r="W14" s="483">
        <f>'9D,A9D費用試算'!$H$53*V14</f>
        <v>0</v>
      </c>
      <c r="X14" s="484">
        <f t="shared" ref="X14" si="8">X8-X13</f>
        <v>0</v>
      </c>
      <c r="Y14" s="483">
        <f>'9D,A9D費用試算'!$H$53*X14</f>
        <v>0</v>
      </c>
      <c r="Z14" s="484">
        <f t="shared" ref="Z14" si="9">Z8-Z13</f>
        <v>0</v>
      </c>
      <c r="AA14" s="483">
        <f>'9D,A9D費用試算'!$H$53*Z14</f>
        <v>0</v>
      </c>
      <c r="AB14" s="484">
        <f t="shared" ref="AB14" si="10">AB8-AB13</f>
        <v>0</v>
      </c>
      <c r="AC14" s="483">
        <f>'9D,A9D費用試算'!$H$53*AB14</f>
        <v>0</v>
      </c>
      <c r="AD14" s="485">
        <f t="shared" ref="AD14" si="11">AD8-AD13</f>
        <v>0</v>
      </c>
      <c r="AE14" s="486">
        <f>'9D,A9D費用試算'!$H$53*AD14</f>
        <v>0</v>
      </c>
      <c r="AF14" s="487">
        <f ca="1">SUMIF($F$11:AE14,"金額",F14:AE14)</f>
        <v>84960</v>
      </c>
    </row>
    <row r="15" spans="1:32" s="189" customFormat="1" ht="22.5" customHeight="1" x14ac:dyDescent="0.15">
      <c r="A15" s="764"/>
      <c r="B15" s="461"/>
      <c r="C15" s="488" t="s">
        <v>115</v>
      </c>
      <c r="D15" s="489" t="s">
        <v>30</v>
      </c>
      <c r="E15" s="472">
        <f>'9D,A9D費用試算'!$J$54</f>
        <v>0</v>
      </c>
      <c r="F15" s="490">
        <f>IF(F6='9D,A9D計算シート'!$N$32,VLOOKUP(F6,【研修旅行】,2,0),IF(F6='9D,A9D計算シート'!N33,VLOOKUP(F6,【研修旅行】,2,0),0))</f>
        <v>0</v>
      </c>
      <c r="G15" s="474">
        <f>IF(F15="","",(F15*'9D,A9D費用試算'!$H$30))</f>
        <v>0</v>
      </c>
      <c r="H15" s="475">
        <f>IF(H6='9D,A9D計算シート'!$N$32,VLOOKUP(H6,【研修旅行】,2,0),IF(H6='9D,A9D計算シート'!L49,VLOOKUP(H6,【研修旅行】,2,0),0))</f>
        <v>0</v>
      </c>
      <c r="I15" s="474">
        <f>IF(H15="","",(H15*'9D,A9D費用試算'!$H$30))</f>
        <v>0</v>
      </c>
      <c r="J15" s="475"/>
      <c r="K15" s="474"/>
      <c r="L15" s="475"/>
      <c r="M15" s="474"/>
      <c r="N15" s="475"/>
      <c r="O15" s="474"/>
      <c r="P15" s="475"/>
      <c r="Q15" s="474"/>
      <c r="R15" s="475"/>
      <c r="S15" s="474"/>
      <c r="T15" s="475"/>
      <c r="U15" s="474"/>
      <c r="V15" s="475"/>
      <c r="W15" s="474"/>
      <c r="X15" s="475"/>
      <c r="Y15" s="474"/>
      <c r="Z15" s="475"/>
      <c r="AA15" s="474"/>
      <c r="AB15" s="475"/>
      <c r="AC15" s="474"/>
      <c r="AD15" s="476"/>
      <c r="AE15" s="477"/>
      <c r="AF15" s="478">
        <f ca="1">SUMIF($F$11:AE15,"金額",F15:AE15)</f>
        <v>0</v>
      </c>
    </row>
    <row r="16" spans="1:32" s="189" customFormat="1" ht="22.5" customHeight="1" x14ac:dyDescent="0.15">
      <c r="A16" s="764"/>
      <c r="B16" s="461"/>
      <c r="C16" s="491"/>
      <c r="D16" s="492" t="s">
        <v>44</v>
      </c>
      <c r="E16" s="481">
        <f>'9D,A9D費用試算'!$J$55</f>
        <v>0</v>
      </c>
      <c r="F16" s="493">
        <f t="shared" ref="F16" si="12">F15</f>
        <v>0</v>
      </c>
      <c r="G16" s="483">
        <f>IF(F16="","",(F16*'9D,A9D費用試算'!$H$31))</f>
        <v>0</v>
      </c>
      <c r="H16" s="484">
        <f t="shared" ref="H16" si="13">H15</f>
        <v>0</v>
      </c>
      <c r="I16" s="483">
        <f>IF(H16="","",(H16*'9D,A9D費用試算'!$H$31))</f>
        <v>0</v>
      </c>
      <c r="J16" s="484"/>
      <c r="K16" s="483"/>
      <c r="L16" s="484"/>
      <c r="M16" s="483"/>
      <c r="N16" s="484"/>
      <c r="O16" s="483"/>
      <c r="P16" s="484"/>
      <c r="Q16" s="483"/>
      <c r="R16" s="484"/>
      <c r="S16" s="483"/>
      <c r="T16" s="484"/>
      <c r="U16" s="483"/>
      <c r="V16" s="484"/>
      <c r="W16" s="483"/>
      <c r="X16" s="484"/>
      <c r="Y16" s="483"/>
      <c r="Z16" s="484"/>
      <c r="AA16" s="483"/>
      <c r="AB16" s="484"/>
      <c r="AC16" s="483"/>
      <c r="AD16" s="485"/>
      <c r="AE16" s="486"/>
      <c r="AF16" s="487">
        <f ca="1">SUMIF($F$11:AE16,"金額",F16:AE16)</f>
        <v>0</v>
      </c>
    </row>
    <row r="17" spans="1:33" s="189" customFormat="1" ht="30" customHeight="1" x14ac:dyDescent="0.15">
      <c r="A17" s="764"/>
      <c r="B17" s="494" t="s">
        <v>33</v>
      </c>
      <c r="C17" s="495"/>
      <c r="D17" s="496" t="str">
        <f>IF(【実地研修中の宿泊】=1,"宿舎費+食費
　(朝･夕食費)","宿舎費")</f>
        <v>宿舎費+食費
　(朝･夕食費)</v>
      </c>
      <c r="E17" s="497">
        <f>'9D,A9D費用試算'!$J$56</f>
        <v>2932600</v>
      </c>
      <c r="F17" s="498">
        <f>IF(【実地研修中の宿泊】=1,F9,0)</f>
        <v>7</v>
      </c>
      <c r="G17" s="499">
        <f>IF(【実地研修中の宿泊】=1,'9D,A9D費用試算'!$H$32*F17, 0)</f>
        <v>60200</v>
      </c>
      <c r="H17" s="498">
        <f>IF(【実地研修中の宿泊】=1,H9,0)</f>
        <v>31</v>
      </c>
      <c r="I17" s="499">
        <f>IF(【実地研修中の宿泊】=1,'9D,A9D費用試算'!$H$32*H17, 0)</f>
        <v>266600</v>
      </c>
      <c r="J17" s="498">
        <f>IF(【実地研修中の宿泊】=1,J9,0)</f>
        <v>30</v>
      </c>
      <c r="K17" s="499">
        <f>IF(【実地研修中の宿泊】=1,'9D,A9D費用試算'!$H$32*J17, 0)</f>
        <v>258000</v>
      </c>
      <c r="L17" s="498">
        <f>IF(【実地研修中の宿泊】=1,L9,0)</f>
        <v>31</v>
      </c>
      <c r="M17" s="499">
        <f>IF(【実地研修中の宿泊】=1,'9D,A9D費用試算'!$H$32*L17, 0)</f>
        <v>266600</v>
      </c>
      <c r="N17" s="498">
        <f>IF(【実地研修中の宿泊】=1,N9,0)</f>
        <v>31</v>
      </c>
      <c r="O17" s="499">
        <f>IF(【実地研修中の宿泊】=1,'9D,A9D費用試算'!$H$32*N17, 0)</f>
        <v>266600</v>
      </c>
      <c r="P17" s="498">
        <f>IF(【実地研修中の宿泊】=1,P9,0)</f>
        <v>30</v>
      </c>
      <c r="Q17" s="499">
        <f>IF(【実地研修中の宿泊】=1,'9D,A9D費用試算'!$H$32*P17, 0)</f>
        <v>258000</v>
      </c>
      <c r="R17" s="498">
        <f>IF(【実地研修中の宿泊】=1,R9,0)</f>
        <v>31</v>
      </c>
      <c r="S17" s="499">
        <f>IF(【実地研修中の宿泊】=1,'9D,A9D費用試算'!$H$32*R17, 0)</f>
        <v>266600</v>
      </c>
      <c r="T17" s="498">
        <f>IF(【実地研修中の宿泊】=1,T9,0)</f>
        <v>30</v>
      </c>
      <c r="U17" s="499">
        <f>IF(【実地研修中の宿泊】=1,'9D,A9D費用試算'!$H$32*T17, 0)</f>
        <v>258000</v>
      </c>
      <c r="V17" s="498">
        <f>IF(【実地研修中の宿泊】=1,V9,0)</f>
        <v>31</v>
      </c>
      <c r="W17" s="499">
        <f>IF(【実地研修中の宿泊】=1,'9D,A9D費用試算'!$H$32*V17, 0)</f>
        <v>266600</v>
      </c>
      <c r="X17" s="498">
        <f>IF(【実地研修中の宿泊】=1,X9,0)</f>
        <v>31</v>
      </c>
      <c r="Y17" s="499">
        <f>IF(【実地研修中の宿泊】=1,'9D,A9D費用試算'!$H$32*X17, 0)</f>
        <v>266600</v>
      </c>
      <c r="Z17" s="498">
        <f>IF(【実地研修中の宿泊】=1,Z9,0)</f>
        <v>28</v>
      </c>
      <c r="AA17" s="499">
        <f>IF(【実地研修中の宿泊】=1,'9D,A9D費用試算'!$H$32*Z17, 0)</f>
        <v>240800</v>
      </c>
      <c r="AB17" s="498">
        <f>IF(【実地研修中の宿泊】=1,AB9,0)</f>
        <v>30</v>
      </c>
      <c r="AC17" s="499">
        <f>IF(【実地研修中の宿泊】=1,'9D,A9D費用試算'!$H$32*AB17, 0)</f>
        <v>258000</v>
      </c>
      <c r="AD17" s="498">
        <f>IF(【実地研修中の宿泊】=1,AD9,0)</f>
        <v>0</v>
      </c>
      <c r="AE17" s="500">
        <f>IF(【実地研修中の宿泊】=1,'9D,A9D費用試算'!$H$32*AD17, 0)</f>
        <v>0</v>
      </c>
      <c r="AF17" s="501">
        <f ca="1">SUMIF($F$11:AE17,"金額",F17:AE17)</f>
        <v>2932600</v>
      </c>
    </row>
    <row r="18" spans="1:33" s="189" customFormat="1" ht="22.5" customHeight="1" thickBot="1" x14ac:dyDescent="0.2">
      <c r="A18" s="765"/>
      <c r="B18" s="757" t="s">
        <v>216</v>
      </c>
      <c r="C18" s="758"/>
      <c r="D18" s="759"/>
      <c r="E18" s="502">
        <f>SUM(E13:E17)</f>
        <v>3026160</v>
      </c>
      <c r="F18" s="503"/>
      <c r="G18" s="504">
        <f>SUM(G13:G17)</f>
        <v>153760</v>
      </c>
      <c r="H18" s="505"/>
      <c r="I18" s="504">
        <f>SUM(I13:I17)</f>
        <v>266600</v>
      </c>
      <c r="J18" s="505"/>
      <c r="K18" s="504">
        <f>SUM(K13:K17)</f>
        <v>258000</v>
      </c>
      <c r="L18" s="505"/>
      <c r="M18" s="504">
        <f>SUM(M13:M17)</f>
        <v>266600</v>
      </c>
      <c r="N18" s="505"/>
      <c r="O18" s="504">
        <f>SUM(O13:O17)</f>
        <v>266600</v>
      </c>
      <c r="P18" s="505"/>
      <c r="Q18" s="504">
        <f>SUM(Q13:Q17)</f>
        <v>258000</v>
      </c>
      <c r="R18" s="505"/>
      <c r="S18" s="504">
        <f>SUM(S13:S17)</f>
        <v>266600</v>
      </c>
      <c r="T18" s="505"/>
      <c r="U18" s="504">
        <f>SUM(U13:U17)</f>
        <v>258000</v>
      </c>
      <c r="V18" s="505"/>
      <c r="W18" s="504">
        <f>SUM(W13:W17)</f>
        <v>266600</v>
      </c>
      <c r="X18" s="505"/>
      <c r="Y18" s="504">
        <f>SUM(Y13:Y17)</f>
        <v>266600</v>
      </c>
      <c r="Z18" s="505"/>
      <c r="AA18" s="504">
        <f>SUM(AA13:AA17)</f>
        <v>240800</v>
      </c>
      <c r="AB18" s="505"/>
      <c r="AC18" s="504">
        <f>SUM(AC13:AC17)</f>
        <v>258000</v>
      </c>
      <c r="AD18" s="506"/>
      <c r="AE18" s="507">
        <f>SUM(AE13:AE17)</f>
        <v>0</v>
      </c>
      <c r="AF18" s="508">
        <f ca="1">SUMIF($F$11:AE18,"金額",F18:AE18)</f>
        <v>3026160</v>
      </c>
    </row>
    <row r="19" spans="1:33" s="189" customFormat="1" ht="22.5" customHeight="1" x14ac:dyDescent="0.15">
      <c r="A19" s="731" t="s">
        <v>258</v>
      </c>
      <c r="B19" s="509" t="s">
        <v>144</v>
      </c>
      <c r="C19" s="510"/>
      <c r="D19" s="511" t="s">
        <v>147</v>
      </c>
      <c r="E19" s="512">
        <f>'9D,A9D費用試算'!$J$26</f>
        <v>100000</v>
      </c>
      <c r="F19" s="513"/>
      <c r="G19" s="514">
        <f>E19</f>
        <v>100000</v>
      </c>
      <c r="H19" s="515"/>
      <c r="I19" s="514"/>
      <c r="J19" s="515"/>
      <c r="K19" s="514"/>
      <c r="L19" s="515"/>
      <c r="M19" s="514"/>
      <c r="N19" s="515"/>
      <c r="O19" s="514"/>
      <c r="P19" s="515"/>
      <c r="Q19" s="514"/>
      <c r="R19" s="515"/>
      <c r="S19" s="514"/>
      <c r="T19" s="515"/>
      <c r="U19" s="514"/>
      <c r="V19" s="515"/>
      <c r="W19" s="514"/>
      <c r="X19" s="515"/>
      <c r="Y19" s="514"/>
      <c r="Z19" s="515"/>
      <c r="AA19" s="514"/>
      <c r="AB19" s="515"/>
      <c r="AC19" s="514"/>
      <c r="AD19" s="515"/>
      <c r="AE19" s="514"/>
      <c r="AF19" s="516">
        <f ca="1">SUMIF($F$11:AE19,"金額",F19:AE19)</f>
        <v>100000</v>
      </c>
    </row>
    <row r="20" spans="1:33" s="189" customFormat="1" ht="22.5" customHeight="1" x14ac:dyDescent="0.15">
      <c r="A20" s="732"/>
      <c r="B20" s="766" t="s">
        <v>27</v>
      </c>
      <c r="C20" s="734" t="s">
        <v>33</v>
      </c>
      <c r="D20" s="517" t="s">
        <v>30</v>
      </c>
      <c r="E20" s="518">
        <f>IF(E17&gt;0,0,'9D,A9D費用試算'!$J$32)</f>
        <v>0</v>
      </c>
      <c r="F20" s="519">
        <f>IF(【実地研修中の宿泊】=1,0,F9)</f>
        <v>0</v>
      </c>
      <c r="G20" s="520">
        <f>IF(【実地研修中の宿泊】=1,0,IF(【実地研修中の宿泊】=2,'9D,A9D費用試算'!$H$32*F20,'9D,A9D費用試算'!$H$32*F20))</f>
        <v>0</v>
      </c>
      <c r="H20" s="476">
        <f>IF(【実地研修中の宿泊】=1,0,H9)</f>
        <v>0</v>
      </c>
      <c r="I20" s="521">
        <f>IF(【実地研修中の宿泊】=1,0,IF(【実地研修中の宿泊】=2,'9D,A9D費用試算'!$H$32*H20,'9D,A9D費用試算'!$H$32*H20))</f>
        <v>0</v>
      </c>
      <c r="J20" s="476">
        <f>IF(【実地研修中の宿泊】=1,0,J9)</f>
        <v>0</v>
      </c>
      <c r="K20" s="521">
        <f>IF(【実地研修中の宿泊】=1,0,IF(【実地研修中の宿泊】=2,'9D,A9D費用試算'!$H$32*J20,'9D,A9D費用試算'!$H$32*J20))</f>
        <v>0</v>
      </c>
      <c r="L20" s="476">
        <f>IF(【実地研修中の宿泊】=1,0,L9)</f>
        <v>0</v>
      </c>
      <c r="M20" s="521">
        <f>IF(【実地研修中の宿泊】=1,0,IF(【実地研修中の宿泊】=2,'9D,A9D費用試算'!$H$32*L20,'9D,A9D費用試算'!$H$32*L20))</f>
        <v>0</v>
      </c>
      <c r="N20" s="476">
        <f>IF(【実地研修中の宿泊】=1,0,N9)</f>
        <v>0</v>
      </c>
      <c r="O20" s="521">
        <f>IF(【実地研修中の宿泊】=1,0,IF(【実地研修中の宿泊】=2,'9D,A9D費用試算'!$H$32*N20,'9D,A9D費用試算'!$H$32*N20))</f>
        <v>0</v>
      </c>
      <c r="P20" s="476">
        <f>IF(【実地研修中の宿泊】=1,0,P9)</f>
        <v>0</v>
      </c>
      <c r="Q20" s="521">
        <f>IF(【実地研修中の宿泊】=1,0,IF(【実地研修中の宿泊】=2,'9D,A9D費用試算'!$H$32*P20,'9D,A9D費用試算'!$H$32*P20))</f>
        <v>0</v>
      </c>
      <c r="R20" s="476">
        <f>IF(【実地研修中の宿泊】=1,0,R9)</f>
        <v>0</v>
      </c>
      <c r="S20" s="521">
        <f>IF(【実地研修中の宿泊】=1,0,IF(【実地研修中の宿泊】=2,'9D,A9D費用試算'!$H$32*R20,'9D,A9D費用試算'!$H$32*R20))</f>
        <v>0</v>
      </c>
      <c r="T20" s="476">
        <f>IF(【実地研修中の宿泊】=1,0,T9)</f>
        <v>0</v>
      </c>
      <c r="U20" s="521">
        <f>IF(【実地研修中の宿泊】=1,0,IF(【実地研修中の宿泊】=2,'9D,A9D費用試算'!$H$32*T20,'9D,A9D費用試算'!$H$32*T20))</f>
        <v>0</v>
      </c>
      <c r="V20" s="476">
        <f>IF(【実地研修中の宿泊】=1,0,V9)</f>
        <v>0</v>
      </c>
      <c r="W20" s="521">
        <f>IF(【実地研修中の宿泊】=1,0,IF(【実地研修中の宿泊】=2,'9D,A9D費用試算'!$H$32*V20,'9D,A9D費用試算'!$H$32*V20))</f>
        <v>0</v>
      </c>
      <c r="X20" s="476">
        <f>IF(【実地研修中の宿泊】=1,0,X9)</f>
        <v>0</v>
      </c>
      <c r="Y20" s="521">
        <f>IF(【実地研修中の宿泊】=1,0,IF(【実地研修中の宿泊】=2,'9D,A9D費用試算'!$H$32*X20,'9D,A9D費用試算'!$H$32*X20))</f>
        <v>0</v>
      </c>
      <c r="Z20" s="476">
        <f>IF(【実地研修中の宿泊】=1,0,Z9)</f>
        <v>0</v>
      </c>
      <c r="AA20" s="521">
        <f>IF(【実地研修中の宿泊】=1,0,IF(【実地研修中の宿泊】=2,'9D,A9D費用試算'!$H$32*Z20,'9D,A9D費用試算'!$H$32*Z20))</f>
        <v>0</v>
      </c>
      <c r="AB20" s="476">
        <f>IF(【実地研修中の宿泊】=1,0,AB9)</f>
        <v>0</v>
      </c>
      <c r="AC20" s="520">
        <f>IF(【実地研修中の宿泊】=1,0,IF(【実地研修中の宿泊】=2,'9D,A9D費用試算'!$H$32*AB20,'9D,A9D費用試算'!$H$32*AB20))</f>
        <v>0</v>
      </c>
      <c r="AD20" s="522">
        <f>IF(【実地研修中の宿泊】=1,0,AD9)</f>
        <v>0</v>
      </c>
      <c r="AE20" s="521">
        <f>IF(【実地研修中の宿泊】=1,0,IF(【実地研修中の宿泊】=2,'9D,A9D費用試算'!$H$32*AD20,'9D,A9D費用試算'!$H$32*AD20))</f>
        <v>0</v>
      </c>
      <c r="AF20" s="523">
        <f ca="1">SUMIF($F$11:AE20,"金額",F20:AE20)</f>
        <v>0</v>
      </c>
    </row>
    <row r="21" spans="1:33" s="189" customFormat="1" ht="22.5" customHeight="1" x14ac:dyDescent="0.15">
      <c r="A21" s="732"/>
      <c r="B21" s="767"/>
      <c r="C21" s="735"/>
      <c r="D21" s="524" t="str">
        <f>'9D,A9D費用試算'!G33</f>
        <v>食費(昼食費)</v>
      </c>
      <c r="E21" s="525">
        <f>'9D,A9D費用試算'!$J$33</f>
        <v>286440</v>
      </c>
      <c r="F21" s="526">
        <f>F9</f>
        <v>7</v>
      </c>
      <c r="G21" s="527">
        <f>'9D,A9D費用試算'!$H$33*F21</f>
        <v>5880</v>
      </c>
      <c r="H21" s="485">
        <f t="shared" ref="H21" si="14">H9</f>
        <v>31</v>
      </c>
      <c r="I21" s="528">
        <f>'9D,A9D費用試算'!$H$33*H21</f>
        <v>26040</v>
      </c>
      <c r="J21" s="485">
        <f t="shared" ref="J21" si="15">J9</f>
        <v>30</v>
      </c>
      <c r="K21" s="528">
        <f>'9D,A9D費用試算'!$H$33*J21</f>
        <v>25200</v>
      </c>
      <c r="L21" s="485">
        <f t="shared" ref="L21" si="16">L9</f>
        <v>31</v>
      </c>
      <c r="M21" s="528">
        <f>'9D,A9D費用試算'!$H$33*L21</f>
        <v>26040</v>
      </c>
      <c r="N21" s="485">
        <f t="shared" ref="N21" si="17">N9</f>
        <v>31</v>
      </c>
      <c r="O21" s="528">
        <f>'9D,A9D費用試算'!$H$33*N21</f>
        <v>26040</v>
      </c>
      <c r="P21" s="485">
        <f t="shared" ref="P21" si="18">P9</f>
        <v>30</v>
      </c>
      <c r="Q21" s="528">
        <f>'9D,A9D費用試算'!$H$33*P21</f>
        <v>25200</v>
      </c>
      <c r="R21" s="485">
        <f t="shared" ref="R21" si="19">R9</f>
        <v>31</v>
      </c>
      <c r="S21" s="528">
        <f>'9D,A9D費用試算'!$H$33*R21</f>
        <v>26040</v>
      </c>
      <c r="T21" s="485">
        <f t="shared" ref="T21" si="20">T9</f>
        <v>30</v>
      </c>
      <c r="U21" s="528">
        <f>'9D,A9D費用試算'!$H$33*T21</f>
        <v>25200</v>
      </c>
      <c r="V21" s="485">
        <f t="shared" ref="V21" si="21">V9</f>
        <v>31</v>
      </c>
      <c r="W21" s="528">
        <f>'9D,A9D費用試算'!$H$33*V21</f>
        <v>26040</v>
      </c>
      <c r="X21" s="485">
        <f t="shared" ref="X21" si="22">X9</f>
        <v>31</v>
      </c>
      <c r="Y21" s="528">
        <f>'9D,A9D費用試算'!$H$33*X21</f>
        <v>26040</v>
      </c>
      <c r="Z21" s="485">
        <f t="shared" ref="Z21" si="23">Z9</f>
        <v>28</v>
      </c>
      <c r="AA21" s="528">
        <f>'9D,A9D費用試算'!$H$33*Z21</f>
        <v>23520</v>
      </c>
      <c r="AB21" s="485">
        <f t="shared" ref="AB21" si="24">AB9</f>
        <v>30</v>
      </c>
      <c r="AC21" s="527">
        <f>'9D,A9D費用試算'!$H$33*AB21</f>
        <v>25200</v>
      </c>
      <c r="AD21" s="529">
        <f t="shared" ref="AD21" si="25">AD9</f>
        <v>0</v>
      </c>
      <c r="AE21" s="528">
        <f>'9D,A9D費用試算'!$H$33*AD21</f>
        <v>0</v>
      </c>
      <c r="AF21" s="530">
        <f ca="1">SUMIF($F$11:AE21,"金額",F21:AE21)</f>
        <v>286440</v>
      </c>
    </row>
    <row r="22" spans="1:33" s="189" customFormat="1" ht="22.5" customHeight="1" x14ac:dyDescent="0.15">
      <c r="A22" s="732"/>
      <c r="B22" s="768"/>
      <c r="C22" s="531" t="s">
        <v>2</v>
      </c>
      <c r="D22" s="532"/>
      <c r="E22" s="533">
        <f>'9D,A9D費用試算'!$J$34</f>
        <v>365040</v>
      </c>
      <c r="F22" s="534">
        <f>F10</f>
        <v>17</v>
      </c>
      <c r="G22" s="535">
        <f>'9D,A9D費用試算'!$H$34*F22</f>
        <v>17680</v>
      </c>
      <c r="H22" s="536">
        <f>H10</f>
        <v>31</v>
      </c>
      <c r="I22" s="535">
        <f>'9D,A9D費用試算'!$H$34*H22</f>
        <v>32240</v>
      </c>
      <c r="J22" s="536">
        <f>J10</f>
        <v>30</v>
      </c>
      <c r="K22" s="535">
        <f>'9D,A9D費用試算'!$H$34*J22</f>
        <v>31200</v>
      </c>
      <c r="L22" s="536">
        <f>L10</f>
        <v>31</v>
      </c>
      <c r="M22" s="535">
        <f>'9D,A9D費用試算'!$H$34*L22</f>
        <v>32240</v>
      </c>
      <c r="N22" s="536">
        <f>N10</f>
        <v>31</v>
      </c>
      <c r="O22" s="535">
        <f>'9D,A9D費用試算'!$H$34*N22</f>
        <v>32240</v>
      </c>
      <c r="P22" s="536">
        <f>P10</f>
        <v>30</v>
      </c>
      <c r="Q22" s="535">
        <f>'9D,A9D費用試算'!$H$34*P22</f>
        <v>31200</v>
      </c>
      <c r="R22" s="536">
        <f>R10</f>
        <v>31</v>
      </c>
      <c r="S22" s="535">
        <f>'9D,A9D費用試算'!$H$34*R22</f>
        <v>32240</v>
      </c>
      <c r="T22" s="536">
        <f>T10</f>
        <v>30</v>
      </c>
      <c r="U22" s="535">
        <f>'9D,A9D費用試算'!$H$34*T22</f>
        <v>31200</v>
      </c>
      <c r="V22" s="536">
        <f>V10</f>
        <v>31</v>
      </c>
      <c r="W22" s="535">
        <f>'9D,A9D費用試算'!$H$34*V22</f>
        <v>32240</v>
      </c>
      <c r="X22" s="536">
        <f>X10</f>
        <v>31</v>
      </c>
      <c r="Y22" s="535">
        <f>'9D,A9D費用試算'!$H$34*X22</f>
        <v>32240</v>
      </c>
      <c r="Z22" s="536">
        <f>Z10</f>
        <v>28</v>
      </c>
      <c r="AA22" s="535">
        <f>'9D,A9D費用試算'!$H$34*Z22</f>
        <v>29120</v>
      </c>
      <c r="AB22" s="536">
        <f>AB10</f>
        <v>30</v>
      </c>
      <c r="AC22" s="535">
        <f>'9D,A9D費用試算'!$H$34*AB22</f>
        <v>31200</v>
      </c>
      <c r="AD22" s="536">
        <f>AD10</f>
        <v>0</v>
      </c>
      <c r="AE22" s="535">
        <f>'9D,A9D費用試算'!$H$34*AD22</f>
        <v>0</v>
      </c>
      <c r="AF22" s="537">
        <f ca="1">SUMIF($F$11:AE22,"金額",F22:AE22)</f>
        <v>365040</v>
      </c>
    </row>
    <row r="23" spans="1:33" s="189" customFormat="1" ht="22.5" customHeight="1" x14ac:dyDescent="0.15">
      <c r="A23" s="732"/>
      <c r="B23" s="538" t="str">
        <f>"実地研修費（@"&amp;TEXT('9D,A9D費用試算'!$H$35,"#,###")&amp;"×"&amp;'9D,A9D計算シート'!$C$13&amp;"日）"</f>
        <v>実地研修費（@5,190×341日）</v>
      </c>
      <c r="C23" s="539"/>
      <c r="D23" s="540"/>
      <c r="E23" s="533">
        <f>'9D,A9D費用試算'!$J$35</f>
        <v>1769790</v>
      </c>
      <c r="F23" s="534">
        <f>F9</f>
        <v>7</v>
      </c>
      <c r="G23" s="535">
        <f>'9D,A9D費用試算'!$H$35*F23</f>
        <v>36330</v>
      </c>
      <c r="H23" s="536">
        <f>H9</f>
        <v>31</v>
      </c>
      <c r="I23" s="535">
        <f>'9D,A9D費用試算'!$H$35*H23</f>
        <v>160890</v>
      </c>
      <c r="J23" s="536">
        <f>J9</f>
        <v>30</v>
      </c>
      <c r="K23" s="535">
        <f>'9D,A9D費用試算'!$H$35*J23</f>
        <v>155700</v>
      </c>
      <c r="L23" s="536">
        <f>L9</f>
        <v>31</v>
      </c>
      <c r="M23" s="535">
        <f>'9D,A9D費用試算'!$H$35*L23</f>
        <v>160890</v>
      </c>
      <c r="N23" s="536">
        <f>N9</f>
        <v>31</v>
      </c>
      <c r="O23" s="535">
        <f>'9D,A9D費用試算'!$H$35*N23</f>
        <v>160890</v>
      </c>
      <c r="P23" s="536">
        <f>P9</f>
        <v>30</v>
      </c>
      <c r="Q23" s="535">
        <f>'9D,A9D費用試算'!$H$35*P23</f>
        <v>155700</v>
      </c>
      <c r="R23" s="536">
        <f>R9</f>
        <v>31</v>
      </c>
      <c r="S23" s="535">
        <f>'9D,A9D費用試算'!$H$35*R23</f>
        <v>160890</v>
      </c>
      <c r="T23" s="536">
        <f>T9</f>
        <v>30</v>
      </c>
      <c r="U23" s="535">
        <f>'9D,A9D費用試算'!$H$35*T23</f>
        <v>155700</v>
      </c>
      <c r="V23" s="536">
        <f>V9</f>
        <v>31</v>
      </c>
      <c r="W23" s="535">
        <f>'9D,A9D費用試算'!$H$35*V23</f>
        <v>160890</v>
      </c>
      <c r="X23" s="536">
        <f>X9</f>
        <v>31</v>
      </c>
      <c r="Y23" s="535">
        <f>'9D,A9D費用試算'!$H$35*X23</f>
        <v>160890</v>
      </c>
      <c r="Z23" s="536">
        <f>Z9</f>
        <v>28</v>
      </c>
      <c r="AA23" s="535">
        <f>'9D,A9D費用試算'!$H$35*Z23</f>
        <v>145320</v>
      </c>
      <c r="AB23" s="536">
        <f>AB9</f>
        <v>30</v>
      </c>
      <c r="AC23" s="535">
        <f>'9D,A9D費用試算'!$H$35*AB23</f>
        <v>155700</v>
      </c>
      <c r="AD23" s="536">
        <f>AD9</f>
        <v>0</v>
      </c>
      <c r="AE23" s="541">
        <f>'9D,A9D費用試算'!$H$35*AD23</f>
        <v>0</v>
      </c>
      <c r="AF23" s="537">
        <f ca="1">SUMIF($F$11:AE23,"金額",F23:AE23)</f>
        <v>1769790</v>
      </c>
    </row>
    <row r="24" spans="1:33" s="189" customFormat="1" ht="22.5" customHeight="1" x14ac:dyDescent="0.15">
      <c r="A24" s="732"/>
      <c r="B24" s="728" t="s">
        <v>217</v>
      </c>
      <c r="C24" s="729"/>
      <c r="D24" s="730"/>
      <c r="E24" s="542">
        <f>SUM(E19:E23)</f>
        <v>2521270</v>
      </c>
      <c r="F24" s="543"/>
      <c r="G24" s="544">
        <f>SUM(G19:G23)</f>
        <v>159890</v>
      </c>
      <c r="H24" s="545"/>
      <c r="I24" s="544">
        <f t="shared" ref="I24" si="26">SUM(I19:I23)</f>
        <v>219170</v>
      </c>
      <c r="J24" s="545"/>
      <c r="K24" s="544">
        <f t="shared" ref="K24" si="27">SUM(K19:K23)</f>
        <v>212100</v>
      </c>
      <c r="L24" s="545"/>
      <c r="M24" s="544">
        <f t="shared" ref="M24" si="28">SUM(M19:M23)</f>
        <v>219170</v>
      </c>
      <c r="N24" s="545"/>
      <c r="O24" s="544">
        <f t="shared" ref="O24" si="29">SUM(O19:O23)</f>
        <v>219170</v>
      </c>
      <c r="P24" s="545"/>
      <c r="Q24" s="544">
        <f t="shared" ref="Q24" si="30">SUM(Q19:Q23)</f>
        <v>212100</v>
      </c>
      <c r="R24" s="545"/>
      <c r="S24" s="544">
        <f t="shared" ref="S24" si="31">SUM(S19:S23)</f>
        <v>219170</v>
      </c>
      <c r="T24" s="545"/>
      <c r="U24" s="544">
        <f t="shared" ref="U24" si="32">SUM(U19:U23)</f>
        <v>212100</v>
      </c>
      <c r="V24" s="545"/>
      <c r="W24" s="544">
        <f t="shared" ref="W24" si="33">SUM(W19:W23)</f>
        <v>219170</v>
      </c>
      <c r="X24" s="545"/>
      <c r="Y24" s="544">
        <f t="shared" ref="Y24" si="34">SUM(Y19:Y23)</f>
        <v>219170</v>
      </c>
      <c r="Z24" s="545"/>
      <c r="AA24" s="544">
        <f t="shared" ref="AA24" si="35">SUM(AA19:AA23)</f>
        <v>197960</v>
      </c>
      <c r="AB24" s="545"/>
      <c r="AC24" s="544">
        <f t="shared" ref="AC24" si="36">SUM(AC19:AC23)</f>
        <v>212100</v>
      </c>
      <c r="AD24" s="546"/>
      <c r="AE24" s="547">
        <f t="shared" ref="AE24" si="37">SUM(AE19:AE23)</f>
        <v>0</v>
      </c>
      <c r="AF24" s="548">
        <f t="shared" ref="AF24:AF28" si="38">SUM(F24:AE24)</f>
        <v>2521270</v>
      </c>
    </row>
    <row r="25" spans="1:33" s="189" customFormat="1" ht="22.5" customHeight="1" thickBot="1" x14ac:dyDescent="0.2">
      <c r="A25" s="733"/>
      <c r="B25" s="549" t="s">
        <v>219</v>
      </c>
      <c r="C25" s="550"/>
      <c r="D25" s="551"/>
      <c r="E25" s="552">
        <f>'9D,A9D費用試算'!$J$36</f>
        <v>0</v>
      </c>
      <c r="F25" s="553"/>
      <c r="G25" s="554">
        <f ca="1">SUMIF(【国内移動費】,F$6,'9D,A9D計算シート'!$K$5:$K$7)</f>
        <v>0</v>
      </c>
      <c r="H25" s="553"/>
      <c r="I25" s="554">
        <f ca="1">SUMIF(【国内移動費】,H$6,'9D,A9D計算シート'!$K$5:$K$7)</f>
        <v>0</v>
      </c>
      <c r="J25" s="553"/>
      <c r="K25" s="554">
        <f ca="1">SUMIF(【国内移動費】,J$6,'9D,A9D計算シート'!$K$5:$K$7)</f>
        <v>0</v>
      </c>
      <c r="L25" s="553"/>
      <c r="M25" s="554">
        <f ca="1">SUMIF(【国内移動費】,L$6,'9D,A9D計算シート'!$K$5:$K$7)</f>
        <v>0</v>
      </c>
      <c r="N25" s="553"/>
      <c r="O25" s="554">
        <f ca="1">SUMIF(【国内移動費】,N$6,'9D,A9D計算シート'!$K$5:$K$7)</f>
        <v>0</v>
      </c>
      <c r="P25" s="553"/>
      <c r="Q25" s="554">
        <f ca="1">SUMIF(【国内移動費】,P$6,'9D,A9D計算シート'!$K$5:$K$7)</f>
        <v>0</v>
      </c>
      <c r="R25" s="553"/>
      <c r="S25" s="554">
        <f ca="1">SUMIF(【国内移動費】,R$6,'9D,A9D計算シート'!$K$5:$K$7)</f>
        <v>0</v>
      </c>
      <c r="T25" s="553"/>
      <c r="U25" s="554">
        <f ca="1">SUMIF(【国内移動費】,T$6,'9D,A9D計算シート'!$K$5:$K$7)</f>
        <v>0</v>
      </c>
      <c r="V25" s="553"/>
      <c r="W25" s="554">
        <f ca="1">SUMIF(【国内移動費】,V$6,'9D,A9D計算シート'!$K$5:$K$7)</f>
        <v>0</v>
      </c>
      <c r="X25" s="553"/>
      <c r="Y25" s="554">
        <f ca="1">SUMIF(【国内移動費】,X$6,'9D,A9D計算シート'!$K$5:$K$7)</f>
        <v>0</v>
      </c>
      <c r="Z25" s="553"/>
      <c r="AA25" s="554">
        <f ca="1">SUMIF(【国内移動費】,Z$6,'9D,A9D計算シート'!$K$5:$K$7)</f>
        <v>0</v>
      </c>
      <c r="AB25" s="553"/>
      <c r="AC25" s="554">
        <f ca="1">SUMIF(【国内移動費】,AB$6,'9D,A9D計算シート'!$K$5:$K$7)</f>
        <v>0</v>
      </c>
      <c r="AD25" s="553"/>
      <c r="AE25" s="554">
        <f ca="1">SUMIF(【国内移動費】,AD$6,'9D,A9D計算シート'!$K$5:$K$7)</f>
        <v>0</v>
      </c>
      <c r="AF25" s="555">
        <f t="shared" ca="1" si="38"/>
        <v>0</v>
      </c>
    </row>
    <row r="26" spans="1:33" s="189" customFormat="1" ht="22.5" customHeight="1" x14ac:dyDescent="0.15">
      <c r="A26" s="724" t="s">
        <v>4</v>
      </c>
      <c r="B26" s="221" t="s">
        <v>269</v>
      </c>
      <c r="C26" s="221"/>
      <c r="D26" s="532" t="str">
        <f>"(①+②)×("&amp;TEXT(VLOOKUP(【研修申込区分】,【研修申込区分別費用】,4,FALSE),"# ?/?")&amp;" )"</f>
        <v>(①+②)×( 1/3 )</v>
      </c>
      <c r="E26" s="556">
        <f>'9D,A9D費用試算'!$J$43</f>
        <v>1849145</v>
      </c>
      <c r="F26" s="557"/>
      <c r="G26" s="558">
        <f>ROUNDUP((G24+G18)*'9D,A9D費用試算'!$N$25,0)</f>
        <v>104550</v>
      </c>
      <c r="H26" s="557"/>
      <c r="I26" s="558">
        <f>ROUNDUP((I24+I18)*'9D,A9D費用試算'!$N$25,0)</f>
        <v>161924</v>
      </c>
      <c r="J26" s="557"/>
      <c r="K26" s="558">
        <f>ROUNDUP((K24+K18)*'9D,A9D費用試算'!$N$25,0)</f>
        <v>156700</v>
      </c>
      <c r="L26" s="557"/>
      <c r="M26" s="558">
        <f>ROUNDUP((M24+M18)*'9D,A9D費用試算'!$N$25,0)</f>
        <v>161924</v>
      </c>
      <c r="N26" s="557"/>
      <c r="O26" s="558">
        <f>ROUNDUP((O24+O18)*'9D,A9D費用試算'!$N$25,0)</f>
        <v>161924</v>
      </c>
      <c r="P26" s="557"/>
      <c r="Q26" s="558">
        <f>ROUNDUP((Q24+Q18)*'9D,A9D費用試算'!$N$25,0)</f>
        <v>156700</v>
      </c>
      <c r="R26" s="557"/>
      <c r="S26" s="558">
        <f>ROUNDUP((S24+S18)*'9D,A9D費用試算'!$N$25,0)</f>
        <v>161924</v>
      </c>
      <c r="T26" s="557"/>
      <c r="U26" s="558">
        <f>ROUNDUP((U24+U18)*'9D,A9D費用試算'!$N$25,0)</f>
        <v>156700</v>
      </c>
      <c r="V26" s="557"/>
      <c r="W26" s="558">
        <f>ROUNDUP((W24+W18)*'9D,A9D費用試算'!$N$25,0)</f>
        <v>161924</v>
      </c>
      <c r="X26" s="557"/>
      <c r="Y26" s="558">
        <f>ROUNDUP((Y24+Y18)*'9D,A9D費用試算'!$N$25,0)</f>
        <v>161924</v>
      </c>
      <c r="Z26" s="557"/>
      <c r="AA26" s="558">
        <f>ROUNDUP((AA24+AA18)*'9D,A9D費用試算'!$N$25,0)</f>
        <v>146254</v>
      </c>
      <c r="AB26" s="557"/>
      <c r="AC26" s="558">
        <f>ROUNDUP((AC24+AC18)*'9D,A9D費用試算'!$N$25,0)</f>
        <v>156700</v>
      </c>
      <c r="AD26" s="557"/>
      <c r="AE26" s="558">
        <f>ROUNDUP((AE24+AE18)*'9D,A9D費用試算'!$N$25,0)</f>
        <v>0</v>
      </c>
      <c r="AF26" s="508">
        <f t="shared" si="38"/>
        <v>1849148</v>
      </c>
    </row>
    <row r="27" spans="1:33" s="189" customFormat="1" ht="22.5" customHeight="1" x14ac:dyDescent="0.15">
      <c r="A27" s="725"/>
      <c r="B27" s="559" t="s">
        <v>262</v>
      </c>
      <c r="C27" s="560"/>
      <c r="D27" s="561"/>
      <c r="E27" s="562">
        <f>'9D,A9D費用試算'!$J$44</f>
        <v>167000</v>
      </c>
      <c r="F27" s="563" t="s">
        <v>54</v>
      </c>
      <c r="G27" s="564">
        <f>E27</f>
        <v>167000</v>
      </c>
      <c r="H27" s="565"/>
      <c r="I27" s="564"/>
      <c r="J27" s="565"/>
      <c r="K27" s="564"/>
      <c r="L27" s="565"/>
      <c r="M27" s="564"/>
      <c r="N27" s="565"/>
      <c r="O27" s="564"/>
      <c r="P27" s="565"/>
      <c r="Q27" s="564"/>
      <c r="R27" s="565"/>
      <c r="S27" s="564"/>
      <c r="T27" s="565"/>
      <c r="U27" s="564"/>
      <c r="V27" s="565"/>
      <c r="W27" s="564"/>
      <c r="X27" s="565"/>
      <c r="Y27" s="564"/>
      <c r="Z27" s="565"/>
      <c r="AA27" s="564"/>
      <c r="AB27" s="565"/>
      <c r="AC27" s="564"/>
      <c r="AD27" s="565"/>
      <c r="AE27" s="566"/>
      <c r="AF27" s="567">
        <f t="shared" si="38"/>
        <v>167000</v>
      </c>
    </row>
    <row r="28" spans="1:33" s="189" customFormat="1" ht="22.5" customHeight="1" thickBot="1" x14ac:dyDescent="0.2">
      <c r="A28" s="726"/>
      <c r="B28" s="754" t="s">
        <v>218</v>
      </c>
      <c r="C28" s="755"/>
      <c r="D28" s="756"/>
      <c r="E28" s="568">
        <f>SUM(E26:E27)</f>
        <v>2016145</v>
      </c>
      <c r="F28" s="569"/>
      <c r="G28" s="570">
        <f>SUM(G26:G27)</f>
        <v>271550</v>
      </c>
      <c r="H28" s="571"/>
      <c r="I28" s="570">
        <f t="shared" ref="I28" si="39">SUM(I26:I27)</f>
        <v>161924</v>
      </c>
      <c r="J28" s="571"/>
      <c r="K28" s="570">
        <f t="shared" ref="K28" si="40">SUM(K26:K27)</f>
        <v>156700</v>
      </c>
      <c r="L28" s="571"/>
      <c r="M28" s="570">
        <f t="shared" ref="M28" si="41">SUM(M26:M27)</f>
        <v>161924</v>
      </c>
      <c r="N28" s="571"/>
      <c r="O28" s="570">
        <f t="shared" ref="O28" si="42">SUM(O26:O27)</f>
        <v>161924</v>
      </c>
      <c r="P28" s="571"/>
      <c r="Q28" s="570">
        <f t="shared" ref="Q28" si="43">SUM(Q26:Q27)</f>
        <v>156700</v>
      </c>
      <c r="R28" s="571"/>
      <c r="S28" s="570">
        <f t="shared" ref="S28" si="44">SUM(S26:S27)</f>
        <v>161924</v>
      </c>
      <c r="T28" s="571"/>
      <c r="U28" s="570">
        <f t="shared" ref="U28" si="45">SUM(U26:U27)</f>
        <v>156700</v>
      </c>
      <c r="V28" s="571"/>
      <c r="W28" s="570">
        <f t="shared" ref="W28" si="46">SUM(W26:W27)</f>
        <v>161924</v>
      </c>
      <c r="X28" s="571"/>
      <c r="Y28" s="570">
        <f t="shared" ref="Y28" si="47">SUM(Y26:Y27)</f>
        <v>161924</v>
      </c>
      <c r="Z28" s="571"/>
      <c r="AA28" s="570">
        <f t="shared" ref="AA28" si="48">SUM(AA26:AA27)</f>
        <v>146254</v>
      </c>
      <c r="AB28" s="571"/>
      <c r="AC28" s="570">
        <f t="shared" ref="AC28" si="49">SUM(AC26:AC27)</f>
        <v>156700</v>
      </c>
      <c r="AD28" s="571"/>
      <c r="AE28" s="572">
        <f t="shared" ref="AE28" si="50">SUM(AE26:AE27)</f>
        <v>0</v>
      </c>
      <c r="AF28" s="573">
        <f t="shared" si="38"/>
        <v>2016148</v>
      </c>
    </row>
    <row r="29" spans="1:33" s="189" customFormat="1" ht="27" customHeight="1" thickTop="1" thickBot="1" x14ac:dyDescent="0.2">
      <c r="A29" s="747" t="s">
        <v>220</v>
      </c>
      <c r="B29" s="748"/>
      <c r="C29" s="748"/>
      <c r="D29" s="749"/>
      <c r="E29" s="574">
        <f>E24+E25-E28</f>
        <v>505125</v>
      </c>
      <c r="F29" s="738">
        <f ca="1">(G24+G25)-G28</f>
        <v>-111660</v>
      </c>
      <c r="G29" s="739"/>
      <c r="H29" s="739">
        <f t="shared" ref="H29" ca="1" si="51">(I24+I25)-I28</f>
        <v>57246</v>
      </c>
      <c r="I29" s="739"/>
      <c r="J29" s="739">
        <f t="shared" ref="J29" ca="1" si="52">(K24+K25)-K28</f>
        <v>55400</v>
      </c>
      <c r="K29" s="739"/>
      <c r="L29" s="739">
        <f t="shared" ref="L29" ca="1" si="53">(M24+M25)-M28</f>
        <v>57246</v>
      </c>
      <c r="M29" s="739"/>
      <c r="N29" s="739">
        <f t="shared" ref="N29" ca="1" si="54">(O24+O25)-O28</f>
        <v>57246</v>
      </c>
      <c r="O29" s="739"/>
      <c r="P29" s="739">
        <f t="shared" ref="P29" ca="1" si="55">(Q24+Q25)-Q28</f>
        <v>55400</v>
      </c>
      <c r="Q29" s="739"/>
      <c r="R29" s="739">
        <f t="shared" ref="R29" ca="1" si="56">(S24+S25)-S28</f>
        <v>57246</v>
      </c>
      <c r="S29" s="739"/>
      <c r="T29" s="739">
        <f t="shared" ref="T29" ca="1" si="57">(U24+U25)-U28</f>
        <v>55400</v>
      </c>
      <c r="U29" s="739"/>
      <c r="V29" s="739">
        <f t="shared" ref="V29" ca="1" si="58">(W24+W25)-W28</f>
        <v>57246</v>
      </c>
      <c r="W29" s="739"/>
      <c r="X29" s="739">
        <f t="shared" ref="X29" ca="1" si="59">(Y24+Y25)-Y28</f>
        <v>57246</v>
      </c>
      <c r="Y29" s="739"/>
      <c r="Z29" s="739">
        <f t="shared" ref="Z29" ca="1" si="60">(AA24+AA25)-AA28</f>
        <v>51706</v>
      </c>
      <c r="AA29" s="739"/>
      <c r="AB29" s="739">
        <f t="shared" ref="AB29" ca="1" si="61">(AC24+AC25)-AC28</f>
        <v>55400</v>
      </c>
      <c r="AC29" s="739"/>
      <c r="AD29" s="739">
        <f t="shared" ref="AD29" ca="1" si="62">(AE24+AE25)-AE28</f>
        <v>0</v>
      </c>
      <c r="AE29" s="774"/>
      <c r="AF29" s="555">
        <f ca="1">SUM(F29:AE29)</f>
        <v>505122</v>
      </c>
    </row>
    <row r="30" spans="1:33" s="189" customFormat="1" ht="32.25" customHeight="1" thickTop="1" thickBot="1" x14ac:dyDescent="0.2">
      <c r="A30" s="760" t="s">
        <v>119</v>
      </c>
      <c r="B30" s="761"/>
      <c r="C30" s="761"/>
      <c r="D30" s="762"/>
      <c r="E30" s="575"/>
      <c r="F30" s="769">
        <f ca="1">IF(F29=0,"",F29)</f>
        <v>-111660</v>
      </c>
      <c r="G30" s="737"/>
      <c r="H30" s="736">
        <f ca="1">IF(H29=0,"",H29+F30)</f>
        <v>-54414</v>
      </c>
      <c r="I30" s="737"/>
      <c r="J30" s="736">
        <f t="shared" ref="J30" ca="1" si="63">IF(J29=0,"",J29+H30)</f>
        <v>986</v>
      </c>
      <c r="K30" s="737"/>
      <c r="L30" s="736">
        <f t="shared" ref="L30" ca="1" si="64">IF(L29=0,"",L29+J30)</f>
        <v>58232</v>
      </c>
      <c r="M30" s="737"/>
      <c r="N30" s="736">
        <f t="shared" ref="N30" ca="1" si="65">IF(N29=0,"",N29+L30)</f>
        <v>115478</v>
      </c>
      <c r="O30" s="737"/>
      <c r="P30" s="736">
        <f t="shared" ref="P30" ca="1" si="66">IF(P29=0,"",P29+N30)</f>
        <v>170878</v>
      </c>
      <c r="Q30" s="737"/>
      <c r="R30" s="736">
        <f t="shared" ref="R30" ca="1" si="67">IF(R29=0,"",R29+P30)</f>
        <v>228124</v>
      </c>
      <c r="S30" s="737"/>
      <c r="T30" s="736">
        <f t="shared" ref="T30" ca="1" si="68">IF(T29=0,"",T29+R30)</f>
        <v>283524</v>
      </c>
      <c r="U30" s="737"/>
      <c r="V30" s="736">
        <f t="shared" ref="V30" ca="1" si="69">IF(V29=0,"",V29+T30)</f>
        <v>340770</v>
      </c>
      <c r="W30" s="737"/>
      <c r="X30" s="736">
        <f t="shared" ref="X30" ca="1" si="70">IF(X29=0,"",X29+V30)</f>
        <v>398016</v>
      </c>
      <c r="Y30" s="737"/>
      <c r="Z30" s="736">
        <f t="shared" ref="Z30" ca="1" si="71">IF(Z29=0,"",Z29+X30)</f>
        <v>449722</v>
      </c>
      <c r="AA30" s="737"/>
      <c r="AB30" s="736">
        <f t="shared" ref="AB30" ca="1" si="72">IF(AB29=0,"",AB29+Z30)</f>
        <v>505122</v>
      </c>
      <c r="AC30" s="737"/>
      <c r="AD30" s="736" t="str">
        <f t="shared" ref="AD30" ca="1" si="73">IF(AD29=0,"",AD29+AB30)</f>
        <v/>
      </c>
      <c r="AE30" s="776"/>
      <c r="AF30" s="1"/>
    </row>
    <row r="31" spans="1:33" s="189" customFormat="1" ht="20.100000000000001" customHeight="1" thickTop="1" x14ac:dyDescent="0.15">
      <c r="A31" s="221" t="s">
        <v>259</v>
      </c>
      <c r="B31" s="576"/>
      <c r="C31" s="576"/>
      <c r="D31" s="576"/>
      <c r="E31" s="577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727"/>
      <c r="AE31" s="727"/>
      <c r="AF31" s="1"/>
    </row>
    <row r="32" spans="1:33" s="189" customFormat="1" ht="13.5" customHeight="1" x14ac:dyDescent="0.15">
      <c r="A32" s="238"/>
      <c r="B32" s="238"/>
      <c r="C32" s="238"/>
      <c r="D32" s="238"/>
      <c r="E32" s="579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0"/>
      <c r="W32" s="580"/>
      <c r="X32" s="580"/>
      <c r="Y32" s="580"/>
      <c r="Z32" s="580"/>
      <c r="AA32" s="580"/>
      <c r="AB32" s="580"/>
      <c r="AC32" s="580"/>
      <c r="AD32" s="422"/>
      <c r="AE32" s="422"/>
      <c r="AF32" s="422"/>
      <c r="AG32" s="422"/>
    </row>
    <row r="33" spans="1:33" s="189" customFormat="1" ht="13.5" customHeight="1" x14ac:dyDescent="0.15">
      <c r="A33" s="422"/>
      <c r="B33" s="422"/>
      <c r="C33" s="422"/>
      <c r="D33" s="422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  <c r="U33" s="580"/>
      <c r="V33" s="580"/>
      <c r="W33" s="580"/>
      <c r="X33" s="580"/>
      <c r="Y33" s="580"/>
      <c r="Z33" s="580"/>
      <c r="AA33" s="580"/>
      <c r="AB33" s="580"/>
      <c r="AC33" s="580"/>
      <c r="AD33" s="422"/>
      <c r="AE33" s="422"/>
      <c r="AF33" s="422"/>
      <c r="AG33" s="422"/>
    </row>
    <row r="34" spans="1:33" s="189" customFormat="1" ht="13.5" customHeight="1" x14ac:dyDescent="0.15">
      <c r="A34" s="422"/>
      <c r="B34" s="422"/>
      <c r="C34" s="422"/>
      <c r="D34" s="422"/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0"/>
      <c r="U34" s="580"/>
      <c r="V34" s="580"/>
      <c r="W34" s="580"/>
      <c r="X34" s="580"/>
      <c r="Y34" s="580"/>
      <c r="Z34" s="580"/>
      <c r="AA34" s="580"/>
      <c r="AB34" s="580"/>
      <c r="AC34" s="580"/>
      <c r="AD34" s="422"/>
      <c r="AE34" s="422"/>
      <c r="AF34" s="422"/>
      <c r="AG34" s="422"/>
    </row>
    <row r="35" spans="1:33" s="189" customFormat="1" ht="13.5" customHeight="1" x14ac:dyDescent="0.15">
      <c r="A35" s="422"/>
      <c r="B35" s="422"/>
      <c r="C35" s="422"/>
      <c r="D35" s="422"/>
      <c r="E35" s="580"/>
      <c r="F35" s="580"/>
      <c r="G35" s="580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580"/>
      <c r="S35" s="580"/>
      <c r="T35" s="580"/>
      <c r="U35" s="580"/>
      <c r="V35" s="580"/>
      <c r="W35" s="580"/>
      <c r="X35" s="580"/>
      <c r="Y35" s="580"/>
      <c r="Z35" s="580"/>
      <c r="AA35" s="580"/>
      <c r="AB35" s="580"/>
      <c r="AC35" s="580"/>
      <c r="AD35" s="422"/>
      <c r="AE35" s="422"/>
      <c r="AF35" s="422"/>
      <c r="AG35" s="422"/>
    </row>
    <row r="36" spans="1:33" s="189" customFormat="1" ht="13.5" customHeight="1" x14ac:dyDescent="0.15">
      <c r="A36" s="422"/>
      <c r="B36" s="422"/>
      <c r="C36" s="422"/>
      <c r="D36" s="422"/>
      <c r="E36" s="580"/>
      <c r="F36" s="580"/>
      <c r="G36" s="580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0"/>
      <c r="U36" s="580"/>
      <c r="V36" s="580"/>
      <c r="W36" s="580"/>
      <c r="X36" s="580"/>
      <c r="Y36" s="580"/>
      <c r="Z36" s="580"/>
      <c r="AA36" s="580"/>
      <c r="AB36" s="580"/>
      <c r="AC36" s="580"/>
      <c r="AD36" s="422"/>
      <c r="AE36" s="422"/>
      <c r="AF36" s="422"/>
      <c r="AG36" s="422"/>
    </row>
    <row r="37" spans="1:33" s="189" customFormat="1" ht="20.100000000000001" customHeight="1" thickBot="1" x14ac:dyDescent="0.2">
      <c r="B37" s="184" t="s">
        <v>139</v>
      </c>
      <c r="C37" s="1"/>
      <c r="D37" s="1"/>
      <c r="E37" s="581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82"/>
      <c r="AE37" s="583"/>
      <c r="AF37" s="1"/>
    </row>
    <row r="38" spans="1:33" s="189" customFormat="1" ht="20.25" customHeight="1" x14ac:dyDescent="0.15">
      <c r="B38" s="584"/>
      <c r="C38" s="585"/>
      <c r="D38" s="586"/>
      <c r="E38" s="587"/>
      <c r="F38" s="745" t="s">
        <v>12</v>
      </c>
      <c r="G38" s="746"/>
      <c r="H38" s="588" t="s">
        <v>33</v>
      </c>
      <c r="I38" s="589"/>
      <c r="J38" s="589"/>
      <c r="K38" s="589"/>
      <c r="L38" s="589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589"/>
      <c r="X38" s="589"/>
      <c r="Y38" s="589"/>
      <c r="Z38" s="589"/>
      <c r="AA38" s="589"/>
      <c r="AB38" s="589"/>
      <c r="AC38" s="589"/>
      <c r="AD38" s="590"/>
      <c r="AE38" s="591"/>
      <c r="AF38" s="587"/>
    </row>
    <row r="39" spans="1:33" s="189" customFormat="1" ht="20.25" customHeight="1" thickBot="1" x14ac:dyDescent="0.2">
      <c r="B39" s="592"/>
      <c r="C39" s="221"/>
      <c r="D39" s="593"/>
      <c r="E39" s="594" t="s">
        <v>5</v>
      </c>
      <c r="F39" s="595"/>
      <c r="G39" s="596">
        <f>'9D,A9D計算シート'!$C$10</f>
        <v>43944</v>
      </c>
      <c r="H39" s="597" t="str">
        <f>IF($G$39='9D,A9D計算シート'!$C$14,"",YEAR($I$39)&amp;"/"&amp;MONTH($I$39))</f>
        <v>2020/4</v>
      </c>
      <c r="I39" s="598">
        <f>IF('9D,A9D計算シート'!$C$12=0,"",'9D,A9D計算シート'!$C$12)</f>
        <v>43945</v>
      </c>
      <c r="J39" s="770" t="str">
        <f>IF(OR('9D,A9D計算シート'!$C$13=H43,'9D,A9D計算シート'!$C$12=0),"",IF(MONTH($I$39)=12,YEAR($I$39)+1&amp;"/"&amp;"1",YEAR($I$39)&amp;"/"&amp;MONTH($I$39)+1))</f>
        <v>2020/5</v>
      </c>
      <c r="K39" s="775"/>
      <c r="L39" s="770" t="str">
        <f ca="1">IF(OR('9D,A9D計算シート'!$C$13=SUMIF($H$40:K$43,"日数/回",$H$43:K$43),'9D,A9D計算シート'!$C$12=0),"",IF(MID(J39,6,2)="12",LEFT(J39,4)+1&amp;"/"&amp;"1",LEFT(J39,4)&amp;"/"&amp;MID(J39,6,2)+1))</f>
        <v>2020/6</v>
      </c>
      <c r="M39" s="775"/>
      <c r="N39" s="770" t="str">
        <f ca="1">IF(OR('9D,A9D計算シート'!$C$13=SUMIF($H$40:M$43,"日数/回",$H$43:M$43),'9D,A9D計算シート'!$C$12=0),"",IF(MID(L39,6,2)="12",LEFT(L39,4)+1&amp;"/"&amp;"1",LEFT(L39,4)&amp;"/"&amp;MID(L39,6,2)+1))</f>
        <v>2020/7</v>
      </c>
      <c r="O39" s="775"/>
      <c r="P39" s="770" t="str">
        <f ca="1">IF(OR('9D,A9D計算シート'!$C$13=SUMIF($H$40:O$43,"日数/回",$H$43:O$43),'9D,A9D計算シート'!$C$12=0),"",IF(MID(N39,6,2)="12",LEFT(N39,4)+1&amp;"/"&amp;"1",LEFT(N39,4)&amp;"/"&amp;MID(N39,6,2)+1))</f>
        <v>2020/8</v>
      </c>
      <c r="Q39" s="775"/>
      <c r="R39" s="770" t="str">
        <f ca="1">IF(OR('9D,A9D計算シート'!$C$13=SUMIF($H$40:Q$43,"日数/回",$H$43:Q$43),'9D,A9D計算シート'!$C$12=0),"",IF(MID(P39,6,2)="12",LEFT(P39,4)+1&amp;"/"&amp;"1",LEFT(P39,4)&amp;"/"&amp;MID(P39,6,2)+1))</f>
        <v>2020/9</v>
      </c>
      <c r="S39" s="775"/>
      <c r="T39" s="770" t="str">
        <f ca="1">IF(OR('9D,A9D計算シート'!$C$13=SUMIF($H$40:S$43,"日数/回",$H$43:S$43),'9D,A9D計算シート'!$C$12=0),"",IF(MID(R39,6,2)="12",LEFT(R39,4)+1&amp;"/"&amp;"1",LEFT(R39,4)&amp;"/"&amp;MID(R39,6,2)+1))</f>
        <v>2020/10</v>
      </c>
      <c r="U39" s="775"/>
      <c r="V39" s="770" t="str">
        <f ca="1">IF(OR('9D,A9D計算シート'!$C$13=SUMIF($H$40:U$43,"日数/回",$H$43:U$43),'9D,A9D計算シート'!$C$12=0),"",IF(MID(T39,6,2)="12",LEFT(T39,4)+1&amp;"/"&amp;"1",LEFT(T39,4)&amp;"/"&amp;MID(T39,6,2)+1))</f>
        <v>2020/11</v>
      </c>
      <c r="W39" s="775"/>
      <c r="X39" s="770" t="str">
        <f ca="1">IF(OR('9D,A9D計算シート'!$C$13=SUMIF($H$40:W$43,"日数/回",$H$43:W$43),'9D,A9D計算シート'!$C$12=0),"",IF(MID(V39,6,2)="12",LEFT(V39,4)+1&amp;"/"&amp;"1",LEFT(V39,4)&amp;"/"&amp;MID(V39,6,2)+1))</f>
        <v>2020/12</v>
      </c>
      <c r="Y39" s="775"/>
      <c r="Z39" s="770" t="str">
        <f ca="1">IF(OR('9D,A9D計算シート'!$C$13=SUMIF($H$40:Y$43,"日数/回",$H$43:Y$43),'9D,A9D計算シート'!$C$12=0),"",IF(MID(X39,6,2)="12",LEFT(X39,4)+1&amp;"/"&amp;"1",LEFT(X39,4)&amp;"/"&amp;MID(X39,6,2)+1))</f>
        <v>2021/1</v>
      </c>
      <c r="AA39" s="775"/>
      <c r="AB39" s="770" t="str">
        <f ca="1">IF(OR('9D,A9D計算シート'!$C$13=SUMIF($H$40:AA$43,"日数/回",$H$43:AA$43),'9D,A9D計算シート'!$C$12=0),"",IF(MID(Z39,6,2)="12",LEFT(Z39,4)+1&amp;"/"&amp;"1",LEFT(Z39,4)&amp;"/"&amp;MID(Z39,6,2)+1))</f>
        <v>2021/2</v>
      </c>
      <c r="AC39" s="775"/>
      <c r="AD39" s="770" t="str">
        <f ca="1">IF(OR('9D,A9D計算シート'!$C$13=SUMIF($H$40:AC$43,"日数/回",$H$43:AC$43),'9D,A9D計算シート'!$C$12=0),"",IF(MID(AB39,6,2)="12",LEFT(AB39,4)+1&amp;"/"&amp;"1",LEFT(AB39,4)&amp;"/"&amp;MID(AB39,6,2)+1))</f>
        <v>2021/3</v>
      </c>
      <c r="AE39" s="771"/>
      <c r="AF39" s="594" t="s">
        <v>116</v>
      </c>
    </row>
    <row r="40" spans="1:33" s="189" customFormat="1" ht="20.25" customHeight="1" thickBot="1" x14ac:dyDescent="0.2">
      <c r="B40" s="599"/>
      <c r="C40" s="550"/>
      <c r="D40" s="600"/>
      <c r="E40" s="601"/>
      <c r="F40" s="602" t="s">
        <v>42</v>
      </c>
      <c r="G40" s="457" t="s">
        <v>31</v>
      </c>
      <c r="H40" s="458" t="s">
        <v>70</v>
      </c>
      <c r="I40" s="457" t="s">
        <v>31</v>
      </c>
      <c r="J40" s="458" t="s">
        <v>70</v>
      </c>
      <c r="K40" s="457" t="s">
        <v>31</v>
      </c>
      <c r="L40" s="458" t="s">
        <v>70</v>
      </c>
      <c r="M40" s="457" t="s">
        <v>31</v>
      </c>
      <c r="N40" s="458" t="s">
        <v>70</v>
      </c>
      <c r="O40" s="457" t="s">
        <v>31</v>
      </c>
      <c r="P40" s="459" t="s">
        <v>70</v>
      </c>
      <c r="Q40" s="457" t="s">
        <v>31</v>
      </c>
      <c r="R40" s="459" t="s">
        <v>70</v>
      </c>
      <c r="S40" s="457" t="s">
        <v>31</v>
      </c>
      <c r="T40" s="459" t="s">
        <v>70</v>
      </c>
      <c r="U40" s="457" t="s">
        <v>31</v>
      </c>
      <c r="V40" s="459" t="s">
        <v>70</v>
      </c>
      <c r="W40" s="457" t="s">
        <v>31</v>
      </c>
      <c r="X40" s="459" t="s">
        <v>70</v>
      </c>
      <c r="Y40" s="457" t="s">
        <v>31</v>
      </c>
      <c r="Z40" s="459" t="s">
        <v>70</v>
      </c>
      <c r="AA40" s="457" t="s">
        <v>31</v>
      </c>
      <c r="AB40" s="459" t="s">
        <v>70</v>
      </c>
      <c r="AC40" s="457" t="s">
        <v>31</v>
      </c>
      <c r="AD40" s="459" t="s">
        <v>70</v>
      </c>
      <c r="AE40" s="603" t="s">
        <v>31</v>
      </c>
      <c r="AF40" s="601"/>
    </row>
    <row r="41" spans="1:33" s="189" customFormat="1" ht="21.75" customHeight="1" x14ac:dyDescent="0.15">
      <c r="B41" s="604" t="s">
        <v>242</v>
      </c>
      <c r="C41" s="560"/>
      <c r="D41" s="605"/>
      <c r="E41" s="606">
        <f>'9D,A9D費用試算'!$F$16</f>
        <v>100000</v>
      </c>
      <c r="F41" s="607"/>
      <c r="G41" s="608">
        <f>'9D,A9D費用試算'!$J$26</f>
        <v>100000</v>
      </c>
      <c r="H41" s="609"/>
      <c r="I41" s="608"/>
      <c r="J41" s="609"/>
      <c r="K41" s="608"/>
      <c r="L41" s="609"/>
      <c r="M41" s="608"/>
      <c r="N41" s="609"/>
      <c r="O41" s="608"/>
      <c r="P41" s="609"/>
      <c r="Q41" s="608"/>
      <c r="R41" s="609"/>
      <c r="S41" s="608"/>
      <c r="T41" s="609"/>
      <c r="U41" s="608"/>
      <c r="V41" s="609"/>
      <c r="W41" s="608"/>
      <c r="X41" s="609"/>
      <c r="Y41" s="608"/>
      <c r="Z41" s="609"/>
      <c r="AA41" s="608"/>
      <c r="AB41" s="609"/>
      <c r="AC41" s="608"/>
      <c r="AD41" s="609"/>
      <c r="AE41" s="610"/>
      <c r="AF41" s="606">
        <f>$E$41</f>
        <v>100000</v>
      </c>
    </row>
    <row r="42" spans="1:33" s="189" customFormat="1" ht="21.75" customHeight="1" thickBot="1" x14ac:dyDescent="0.2">
      <c r="B42" s="781" t="s">
        <v>132</v>
      </c>
      <c r="C42" s="782"/>
      <c r="D42" s="783"/>
      <c r="E42" s="611">
        <f>IF(【実地研修中の宿泊】=3,'9D,A9D費用試算'!$J$32,0)</f>
        <v>0</v>
      </c>
      <c r="F42" s="612"/>
      <c r="G42" s="613">
        <v>0</v>
      </c>
      <c r="H42" s="614">
        <f>IF(H$39="",0,IF(【実地研修中の宿泊】=3,IF('9D,A9D計算シート'!$C$12=0,0,VLOOKUP(H$39,【研修日数】,10,FALSE)),0))</f>
        <v>0</v>
      </c>
      <c r="I42" s="613">
        <f>'9D,A9D費用試算'!$H$32*H42</f>
        <v>0</v>
      </c>
      <c r="J42" s="614">
        <f>IF(J$39="",0,IF(【実地研修中の宿泊】=3,IF('9D,A9D計算シート'!$C$12=0,0,VLOOKUP(J$39,【研修日数】,10,FALSE)),0))</f>
        <v>0</v>
      </c>
      <c r="K42" s="613">
        <f>'9D,A9D費用試算'!$H$32*J42</f>
        <v>0</v>
      </c>
      <c r="L42" s="614">
        <f ca="1">IF(L$39="",0,IF(【実地研修中の宿泊】=3,IF('9D,A9D計算シート'!$C$12=0,0,VLOOKUP(L$39,【研修日数】,10,FALSE)),0))</f>
        <v>0</v>
      </c>
      <c r="M42" s="613">
        <f ca="1">'9D,A9D費用試算'!$H$32*L42</f>
        <v>0</v>
      </c>
      <c r="N42" s="614">
        <f ca="1">IF(N$39="",0,IF(【実地研修中の宿泊】=3,IF('9D,A9D計算シート'!$C$12=0,0,VLOOKUP(N$39,【研修日数】,10,FALSE)),0))</f>
        <v>0</v>
      </c>
      <c r="O42" s="613">
        <f ca="1">'9D,A9D費用試算'!$H$32*N42</f>
        <v>0</v>
      </c>
      <c r="P42" s="614">
        <f ca="1">IF(P$39="",0,IF(【実地研修中の宿泊】=3,IF('9D,A9D計算シート'!$C$12=0,0,VLOOKUP(P$39,【研修日数】,10,FALSE)),0))</f>
        <v>0</v>
      </c>
      <c r="Q42" s="615">
        <f ca="1">'9D,A9D費用試算'!$H$32*P42</f>
        <v>0</v>
      </c>
      <c r="R42" s="614">
        <f ca="1">IF(R$39="",0,IF(【実地研修中の宿泊】=3,IF('9D,A9D計算シート'!$C$12=0,0,VLOOKUP(R$39,【研修日数】,10,FALSE)),0))</f>
        <v>0</v>
      </c>
      <c r="S42" s="615">
        <f ca="1">'9D,A9D費用試算'!$H$32*R42</f>
        <v>0</v>
      </c>
      <c r="T42" s="614">
        <f ca="1">IF(T$39="",0,IF(【実地研修中の宿泊】=3,IF('9D,A9D計算シート'!$C$12=0,0,VLOOKUP(T$39,【研修日数】,10,FALSE)),0))</f>
        <v>0</v>
      </c>
      <c r="U42" s="615">
        <f ca="1">'9D,A9D費用試算'!$H$32*T42</f>
        <v>0</v>
      </c>
      <c r="V42" s="614">
        <f ca="1">IF(V$39="",0,IF(【実地研修中の宿泊】=3,IF('9D,A9D計算シート'!$C$12=0,0,VLOOKUP(V$39,【研修日数】,10,FALSE)),0))</f>
        <v>0</v>
      </c>
      <c r="W42" s="615">
        <f ca="1">'9D,A9D費用試算'!$H$32*V42</f>
        <v>0</v>
      </c>
      <c r="X42" s="614">
        <f ca="1">IF(X$39="",0,IF(【実地研修中の宿泊】=3,IF('9D,A9D計算シート'!$C$12=0,0,VLOOKUP(X$39,【研修日数】,10,FALSE)),0))</f>
        <v>0</v>
      </c>
      <c r="Y42" s="615">
        <f ca="1">'9D,A9D費用試算'!$H$32*X42</f>
        <v>0</v>
      </c>
      <c r="Z42" s="614">
        <f ca="1">IF(Z$39="",0,IF(【実地研修中の宿泊】=3,IF('9D,A9D計算シート'!$C$12=0,0,VLOOKUP(Z$39,【研修日数】,10,FALSE)),0))</f>
        <v>0</v>
      </c>
      <c r="AA42" s="615">
        <f ca="1">'9D,A9D費用試算'!$H$32*Z42</f>
        <v>0</v>
      </c>
      <c r="AB42" s="614">
        <f ca="1">IF(AB$39="",0,IF(【実地研修中の宿泊】=3,IF('9D,A9D計算シート'!$C$12=0,0,VLOOKUP(AB$39,【研修日数】,10,FALSE)),0))</f>
        <v>0</v>
      </c>
      <c r="AC42" s="615">
        <f ca="1">'9D,A9D費用試算'!$H$32*AB42</f>
        <v>0</v>
      </c>
      <c r="AD42" s="614">
        <f ca="1">IF(AD$39="",0,IF(【実地研修中の宿泊】=3,IF('9D,A9D計算シート'!$C$12=0,0,VLOOKUP(AD$39,【研修日数】,10,FALSE)),0))</f>
        <v>0</v>
      </c>
      <c r="AE42" s="616">
        <f ca="1">'9D,A9D費用試算'!$H$32*AD42</f>
        <v>0</v>
      </c>
      <c r="AF42" s="611">
        <f ca="1">SUMIF($F$40:$AE42,"金額",$F42:$AE42)</f>
        <v>0</v>
      </c>
    </row>
    <row r="43" spans="1:33" s="189" customFormat="1" ht="21.75" customHeight="1" thickTop="1" x14ac:dyDescent="0.15">
      <c r="B43" s="617" t="str">
        <f>"実地研修中食費（@"&amp;TEXT('9D,A9D費用試算'!$H$33,"#,###")&amp;"×"&amp;'9D,A9D費用試算'!$I$33&amp;"日）"</f>
        <v>実地研修中食費（@840×341日）</v>
      </c>
      <c r="C43" s="463"/>
      <c r="D43" s="618"/>
      <c r="E43" s="619">
        <f>'9D,A9D費用試算'!$J$33</f>
        <v>286440</v>
      </c>
      <c r="F43" s="620"/>
      <c r="G43" s="621">
        <v>0</v>
      </c>
      <c r="H43" s="622">
        <f>IF(H$39="",0,VLOOKUP(H$39,【研修日数】,10,FALSE))</f>
        <v>7</v>
      </c>
      <c r="I43" s="621">
        <f>'9D,A9D費用試算'!$H$33*H43</f>
        <v>5880</v>
      </c>
      <c r="J43" s="622">
        <f>IF(J$39="",0,VLOOKUP(J$39,【研修日数】,10,FALSE))</f>
        <v>31</v>
      </c>
      <c r="K43" s="621">
        <f>'9D,A9D費用試算'!$H$33*J43</f>
        <v>26040</v>
      </c>
      <c r="L43" s="622">
        <f ca="1">IF(L$39="",0,VLOOKUP(L$39,【研修日数】,10,FALSE))</f>
        <v>30</v>
      </c>
      <c r="M43" s="621">
        <f ca="1">'9D,A9D費用試算'!$H$33*L43</f>
        <v>25200</v>
      </c>
      <c r="N43" s="622">
        <f ca="1">IF(N$39="",0,VLOOKUP(N$39,【研修日数】,10,FALSE))</f>
        <v>31</v>
      </c>
      <c r="O43" s="621">
        <f ca="1">'9D,A9D費用試算'!$H$33*N43</f>
        <v>26040</v>
      </c>
      <c r="P43" s="622">
        <f ca="1">IF(P$39="",0,VLOOKUP(P$39,【研修日数】,10,FALSE))</f>
        <v>31</v>
      </c>
      <c r="Q43" s="623">
        <f ca="1">'9D,A9D費用試算'!$H$33*P43</f>
        <v>26040</v>
      </c>
      <c r="R43" s="622">
        <f ca="1">IF(R$39="",0,VLOOKUP(R$39,【研修日数】,10,FALSE))</f>
        <v>30</v>
      </c>
      <c r="S43" s="623">
        <f ca="1">'9D,A9D費用試算'!$H$33*R43</f>
        <v>25200</v>
      </c>
      <c r="T43" s="622">
        <f ca="1">IF(T$39="",0,VLOOKUP(T$39,【研修日数】,10,FALSE))</f>
        <v>31</v>
      </c>
      <c r="U43" s="623">
        <f ca="1">'9D,A9D費用試算'!$H$33*T43</f>
        <v>26040</v>
      </c>
      <c r="V43" s="622">
        <f ca="1">IF(V$39="",0,VLOOKUP(V$39,【研修日数】,10,FALSE))</f>
        <v>30</v>
      </c>
      <c r="W43" s="623">
        <f ca="1">'9D,A9D費用試算'!$H$33*V43</f>
        <v>25200</v>
      </c>
      <c r="X43" s="622">
        <f ca="1">IF(X$39="",0,VLOOKUP(X$39,【研修日数】,10,FALSE))</f>
        <v>31</v>
      </c>
      <c r="Y43" s="623">
        <f ca="1">'9D,A9D費用試算'!$H$33*X43</f>
        <v>26040</v>
      </c>
      <c r="Z43" s="622">
        <f ca="1">IF(Z$39="",0,VLOOKUP(Z$39,【研修日数】,10,FALSE))</f>
        <v>31</v>
      </c>
      <c r="AA43" s="623">
        <f ca="1">'9D,A9D費用試算'!$H$33*Z43</f>
        <v>26040</v>
      </c>
      <c r="AB43" s="622">
        <f ca="1">IF(AB$39="",0,VLOOKUP(AB$39,【研修日数】,10,FALSE))</f>
        <v>28</v>
      </c>
      <c r="AC43" s="623">
        <f ca="1">'9D,A9D費用試算'!$H$33*AB43</f>
        <v>23520</v>
      </c>
      <c r="AD43" s="622">
        <f ca="1">IF(AD$39="",0,VLOOKUP(AD$39,【研修日数】,10,FALSE))</f>
        <v>30</v>
      </c>
      <c r="AE43" s="624">
        <f ca="1">'9D,A9D費用試算'!$H$33*AD43</f>
        <v>25200</v>
      </c>
      <c r="AF43" s="619">
        <f ca="1">SUMIF($F$40:$AE43,"金額",$F43:$AE43)</f>
        <v>286440</v>
      </c>
    </row>
    <row r="44" spans="1:33" s="189" customFormat="1" ht="21.75" customHeight="1" thickBot="1" x14ac:dyDescent="0.2">
      <c r="B44" s="604" t="str">
        <f>"雑費（@"&amp;TEXT('9D,A9D費用試算'!$H$34,"#,###")&amp;"×"&amp;'9D,A9D計算シート'!$C$6&amp;"日）"</f>
        <v>雑費（@1,040×351日）</v>
      </c>
      <c r="C44" s="560"/>
      <c r="D44" s="605"/>
      <c r="E44" s="625">
        <f>'9D,A9D費用試算'!$J$34</f>
        <v>365040</v>
      </c>
      <c r="F44" s="626">
        <f>'9D,A9D計算シート'!C9</f>
        <v>10</v>
      </c>
      <c r="G44" s="627">
        <f>'9D,A9D費用試算'!$H$34*F44</f>
        <v>10400</v>
      </c>
      <c r="H44" s="628">
        <f>IF(H$39="",0,VLOOKUP(H$39,【研修日数】,10,FALSE))</f>
        <v>7</v>
      </c>
      <c r="I44" s="627">
        <f>'9D,A9D費用試算'!$H$34*H44</f>
        <v>7280</v>
      </c>
      <c r="J44" s="628">
        <f>IF(J$39="",0,VLOOKUP(J$39,【研修日数】,10,FALSE))</f>
        <v>31</v>
      </c>
      <c r="K44" s="627">
        <f>'9D,A9D費用試算'!$H$34*J44</f>
        <v>32240</v>
      </c>
      <c r="L44" s="628">
        <f ca="1">IF(L$39="",0,VLOOKUP(L$39,【研修日数】,10,FALSE))</f>
        <v>30</v>
      </c>
      <c r="M44" s="627">
        <f ca="1">'9D,A9D費用試算'!$H$34*L44</f>
        <v>31200</v>
      </c>
      <c r="N44" s="628">
        <f ca="1">IF(N$39="",0,VLOOKUP(N$39,【研修日数】,10,FALSE))</f>
        <v>31</v>
      </c>
      <c r="O44" s="627">
        <f ca="1">'9D,A9D費用試算'!$H$34*N44</f>
        <v>32240</v>
      </c>
      <c r="P44" s="628">
        <f ca="1">IF(P$39="",0,VLOOKUP(P$39,【研修日数】,10,FALSE))</f>
        <v>31</v>
      </c>
      <c r="Q44" s="627">
        <f ca="1">'9D,A9D費用試算'!$H$34*P44</f>
        <v>32240</v>
      </c>
      <c r="R44" s="628">
        <f ca="1">IF(R$39="",0,VLOOKUP(R$39,【研修日数】,10,FALSE))</f>
        <v>30</v>
      </c>
      <c r="S44" s="627">
        <f ca="1">'9D,A9D費用試算'!$H$34*R44</f>
        <v>31200</v>
      </c>
      <c r="T44" s="628">
        <f ca="1">IF(T$39="",0,VLOOKUP(T$39,【研修日数】,10,FALSE))</f>
        <v>31</v>
      </c>
      <c r="U44" s="627">
        <f ca="1">'9D,A9D費用試算'!$H$34*T44</f>
        <v>32240</v>
      </c>
      <c r="V44" s="628">
        <f ca="1">IF(V$39="",0,VLOOKUP(V$39,【研修日数】,10,FALSE))</f>
        <v>30</v>
      </c>
      <c r="W44" s="627">
        <f ca="1">'9D,A9D費用試算'!$H$34*V44</f>
        <v>31200</v>
      </c>
      <c r="X44" s="628">
        <f ca="1">IF(X$39="",0,VLOOKUP(X$39,【研修日数】,10,FALSE))</f>
        <v>31</v>
      </c>
      <c r="Y44" s="627">
        <f ca="1">'9D,A9D費用試算'!$H$34*X44</f>
        <v>32240</v>
      </c>
      <c r="Z44" s="628">
        <f ca="1">IF(Z$39="",0,VLOOKUP(Z$39,【研修日数】,10,FALSE))</f>
        <v>31</v>
      </c>
      <c r="AA44" s="627">
        <f ca="1">'9D,A9D費用試算'!$H$34*Z44</f>
        <v>32240</v>
      </c>
      <c r="AB44" s="628">
        <f ca="1">IF(AB$39="",0,VLOOKUP(AB$39,【研修日数】,10,FALSE))</f>
        <v>28</v>
      </c>
      <c r="AC44" s="627">
        <f ca="1">'9D,A9D費用試算'!$H$34*AB44</f>
        <v>29120</v>
      </c>
      <c r="AD44" s="628">
        <f ca="1">IF(AD$39="",0,VLOOKUP(AD$39,【研修日数】,10,FALSE))</f>
        <v>30</v>
      </c>
      <c r="AE44" s="629">
        <f ca="1">'9D,A9D費用試算'!$H$34*AD44</f>
        <v>31200</v>
      </c>
      <c r="AF44" s="625">
        <f ca="1">SUMIF($F$40:$AE44,"金額",$F44:$AE44)</f>
        <v>365040</v>
      </c>
    </row>
    <row r="45" spans="1:33" s="189" customFormat="1" ht="30" customHeight="1" thickBot="1" x14ac:dyDescent="0.2">
      <c r="B45" s="778" t="s">
        <v>5</v>
      </c>
      <c r="C45" s="779"/>
      <c r="D45" s="780"/>
      <c r="E45" s="630">
        <f>SUM(E41:E44)</f>
        <v>751480</v>
      </c>
      <c r="F45" s="631"/>
      <c r="G45" s="632">
        <f>SUM(G41:G44)</f>
        <v>110400</v>
      </c>
      <c r="H45" s="631"/>
      <c r="I45" s="632">
        <f>SUM(I41:I44)</f>
        <v>13160</v>
      </c>
      <c r="J45" s="631"/>
      <c r="K45" s="632">
        <f>SUM(K41:K44)</f>
        <v>58280</v>
      </c>
      <c r="L45" s="631"/>
      <c r="M45" s="632">
        <f ca="1">SUM(M41:M44)</f>
        <v>56400</v>
      </c>
      <c r="N45" s="631"/>
      <c r="O45" s="632">
        <f ca="1">SUM(O41:O44)</f>
        <v>58280</v>
      </c>
      <c r="P45" s="631"/>
      <c r="Q45" s="632">
        <f ca="1">SUM(Q41:Q44)</f>
        <v>58280</v>
      </c>
      <c r="R45" s="631"/>
      <c r="S45" s="632">
        <f ca="1">SUM(S41:S44)</f>
        <v>56400</v>
      </c>
      <c r="T45" s="631"/>
      <c r="U45" s="632">
        <f ca="1">SUM(U41:U44)</f>
        <v>58280</v>
      </c>
      <c r="V45" s="631"/>
      <c r="W45" s="632">
        <f ca="1">SUM(W41:W44)</f>
        <v>56400</v>
      </c>
      <c r="X45" s="631"/>
      <c r="Y45" s="632">
        <f ca="1">SUM(Y41:Y44)</f>
        <v>58280</v>
      </c>
      <c r="Z45" s="631"/>
      <c r="AA45" s="632">
        <f ca="1">SUM(AA41:AA44)</f>
        <v>58280</v>
      </c>
      <c r="AB45" s="631"/>
      <c r="AC45" s="632">
        <f ca="1">SUM(AC41:AC44)</f>
        <v>52640</v>
      </c>
      <c r="AD45" s="631"/>
      <c r="AE45" s="633">
        <f ca="1">SUM(AE41:AE44)</f>
        <v>56400</v>
      </c>
      <c r="AF45" s="630">
        <f ca="1">SUM(AF41:AF44)</f>
        <v>751480</v>
      </c>
    </row>
    <row r="46" spans="1:33" s="189" customFormat="1" ht="20.100000000000001" customHeight="1" x14ac:dyDescent="0.15">
      <c r="B46" s="1" t="s">
        <v>140</v>
      </c>
      <c r="C46" s="1"/>
      <c r="D46" s="1"/>
      <c r="E46" s="578"/>
      <c r="F46" s="582"/>
      <c r="G46" s="582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8"/>
      <c r="S46" s="578"/>
      <c r="T46" s="578"/>
      <c r="U46" s="578"/>
      <c r="V46" s="578"/>
      <c r="W46" s="578"/>
      <c r="X46" s="578"/>
      <c r="Y46" s="578"/>
      <c r="Z46" s="578"/>
      <c r="AA46" s="578"/>
      <c r="AB46" s="578"/>
      <c r="AC46" s="578"/>
      <c r="AD46" s="582"/>
      <c r="AE46" s="582"/>
      <c r="AF46" s="1"/>
    </row>
    <row r="47" spans="1:33" ht="13.5" customHeight="1" x14ac:dyDescent="0.15">
      <c r="E47" s="580"/>
      <c r="H47" s="580"/>
      <c r="I47" s="580"/>
      <c r="J47" s="580"/>
      <c r="K47" s="580"/>
      <c r="L47" s="580"/>
      <c r="M47" s="580"/>
      <c r="N47" s="580"/>
      <c r="O47" s="580"/>
      <c r="P47" s="580"/>
      <c r="Q47" s="580"/>
      <c r="R47" s="580"/>
      <c r="S47" s="580"/>
      <c r="T47" s="580"/>
      <c r="U47" s="580"/>
      <c r="V47" s="580"/>
      <c r="W47" s="580"/>
      <c r="X47" s="580"/>
      <c r="Y47" s="580"/>
      <c r="Z47" s="580"/>
      <c r="AA47" s="580"/>
      <c r="AB47" s="580"/>
      <c r="AC47" s="580"/>
    </row>
    <row r="48" spans="1:33" ht="13.5" customHeight="1" x14ac:dyDescent="0.15">
      <c r="E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580"/>
      <c r="Z48" s="580"/>
      <c r="AA48" s="580"/>
      <c r="AB48" s="580"/>
      <c r="AC48" s="580"/>
    </row>
    <row r="49" spans="5:29" ht="13.5" customHeight="1" x14ac:dyDescent="0.15">
      <c r="E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  <c r="S49" s="580"/>
      <c r="T49" s="580"/>
      <c r="U49" s="580"/>
      <c r="V49" s="580"/>
      <c r="W49" s="580"/>
      <c r="X49" s="580"/>
      <c r="Y49" s="580"/>
      <c r="Z49" s="580"/>
      <c r="AA49" s="580"/>
      <c r="AB49" s="580"/>
      <c r="AC49" s="580"/>
    </row>
  </sheetData>
  <sheetProtection sheet="1" objects="1" scenarios="1" formatCells="0"/>
  <mergeCells count="81">
    <mergeCell ref="B45:D45"/>
    <mergeCell ref="R39:S39"/>
    <mergeCell ref="B42:D42"/>
    <mergeCell ref="T39:U39"/>
    <mergeCell ref="J39:K39"/>
    <mergeCell ref="L39:M39"/>
    <mergeCell ref="N39:O39"/>
    <mergeCell ref="P39:Q39"/>
    <mergeCell ref="AD39:AE39"/>
    <mergeCell ref="AF6:AF7"/>
    <mergeCell ref="AD29:AE29"/>
    <mergeCell ref="V29:W29"/>
    <mergeCell ref="X29:Y29"/>
    <mergeCell ref="Z29:AA29"/>
    <mergeCell ref="V39:W39"/>
    <mergeCell ref="X39:Y39"/>
    <mergeCell ref="Z39:AA39"/>
    <mergeCell ref="AB39:AC39"/>
    <mergeCell ref="Z30:AA30"/>
    <mergeCell ref="AB30:AC30"/>
    <mergeCell ref="AD30:AE30"/>
    <mergeCell ref="AB29:AC29"/>
    <mergeCell ref="AD7:AE7"/>
    <mergeCell ref="AD6:AE6"/>
    <mergeCell ref="AB7:AC7"/>
    <mergeCell ref="AB6:AC6"/>
    <mergeCell ref="Z7:AA7"/>
    <mergeCell ref="Z6:AA6"/>
    <mergeCell ref="X7:Y7"/>
    <mergeCell ref="X6:Y6"/>
    <mergeCell ref="F38:G38"/>
    <mergeCell ref="A29:D29"/>
    <mergeCell ref="F7:G7"/>
    <mergeCell ref="A11:D11"/>
    <mergeCell ref="N7:O7"/>
    <mergeCell ref="B28:D28"/>
    <mergeCell ref="B18:D18"/>
    <mergeCell ref="N29:O29"/>
    <mergeCell ref="N30:O30"/>
    <mergeCell ref="A30:D30"/>
    <mergeCell ref="A12:A18"/>
    <mergeCell ref="L30:M30"/>
    <mergeCell ref="J30:K30"/>
    <mergeCell ref="B20:B22"/>
    <mergeCell ref="F30:G30"/>
    <mergeCell ref="H30:I30"/>
    <mergeCell ref="V7:W7"/>
    <mergeCell ref="R29:S29"/>
    <mergeCell ref="V6:W6"/>
    <mergeCell ref="T7:U7"/>
    <mergeCell ref="T6:U6"/>
    <mergeCell ref="R7:S7"/>
    <mergeCell ref="R6:S6"/>
    <mergeCell ref="T29:U29"/>
    <mergeCell ref="N6:O6"/>
    <mergeCell ref="P7:Q7"/>
    <mergeCell ref="P6:Q6"/>
    <mergeCell ref="P29:Q29"/>
    <mergeCell ref="J7:K7"/>
    <mergeCell ref="J6:K6"/>
    <mergeCell ref="H7:I7"/>
    <mergeCell ref="H6:I6"/>
    <mergeCell ref="L7:M7"/>
    <mergeCell ref="L6:M6"/>
    <mergeCell ref="F6:G6"/>
    <mergeCell ref="F1:G1"/>
    <mergeCell ref="B4:C4"/>
    <mergeCell ref="A26:A28"/>
    <mergeCell ref="AD31:AE31"/>
    <mergeCell ref="B24:D24"/>
    <mergeCell ref="A19:A25"/>
    <mergeCell ref="C20:C21"/>
    <mergeCell ref="T30:U30"/>
    <mergeCell ref="V30:W30"/>
    <mergeCell ref="X30:Y30"/>
    <mergeCell ref="P30:Q30"/>
    <mergeCell ref="R30:S30"/>
    <mergeCell ref="F29:G29"/>
    <mergeCell ref="H29:I29"/>
    <mergeCell ref="J29:K29"/>
    <mergeCell ref="L29:M29"/>
  </mergeCells>
  <phoneticPr fontId="2"/>
  <conditionalFormatting sqref="F8:AE10 F13:AE17 F19:AE23 F25:AE27 F41:AE45">
    <cfRule type="cellIs" dxfId="27" priority="4" stopIfTrue="1" operator="equal">
      <formula>0</formula>
    </cfRule>
  </conditionalFormatting>
  <conditionalFormatting sqref="P30:Q30">
    <cfRule type="expression" dxfId="26" priority="18" stopIfTrue="1">
      <formula>AND($N$30&lt;0,$P$30&gt;0,$P$30&lt;&gt;"")</formula>
    </cfRule>
    <cfRule type="expression" dxfId="25" priority="19" stopIfTrue="1">
      <formula>AND($P$30&lt;&gt;"",$R$30="")</formula>
    </cfRule>
  </conditionalFormatting>
  <conditionalFormatting sqref="F30:G30">
    <cfRule type="cellIs" dxfId="24" priority="8" stopIfTrue="1" operator="greaterThan">
      <formula>0</formula>
    </cfRule>
    <cfRule type="expression" dxfId="23" priority="9" stopIfTrue="1">
      <formula>AND($F$30&lt;&gt;"",$H$30="")</formula>
    </cfRule>
  </conditionalFormatting>
  <conditionalFormatting sqref="H30:I30">
    <cfRule type="expression" dxfId="22" priority="10" stopIfTrue="1">
      <formula>AND($F$30&lt;0,$H$30&gt;0,$H$30&lt;&gt;"")</formula>
    </cfRule>
    <cfRule type="expression" dxfId="21" priority="11" stopIfTrue="1">
      <formula>AND($H$30&lt;&gt;"",$J$30="")</formula>
    </cfRule>
  </conditionalFormatting>
  <conditionalFormatting sqref="J30:K30">
    <cfRule type="expression" dxfId="20" priority="12" stopIfTrue="1">
      <formula>AND($H$30&lt;0,$J$30&gt;0,$J$30&lt;&gt;"")</formula>
    </cfRule>
    <cfRule type="expression" dxfId="19" priority="13" stopIfTrue="1">
      <formula>AND($J$30&lt;&gt;"",$L$30="")</formula>
    </cfRule>
  </conditionalFormatting>
  <conditionalFormatting sqref="L30:M30">
    <cfRule type="expression" dxfId="18" priority="14" stopIfTrue="1">
      <formula>AND($J$30&lt;0,$L$30&gt;0,$L$30&lt;&gt;"")</formula>
    </cfRule>
    <cfRule type="expression" dxfId="17" priority="15" stopIfTrue="1">
      <formula>AND($L$30&lt;&gt;"",$N$30="")</formula>
    </cfRule>
  </conditionalFormatting>
  <conditionalFormatting sqref="N30:O30">
    <cfRule type="expression" dxfId="16" priority="16" stopIfTrue="1">
      <formula>AND($L$30&lt;0,$N$30&gt;0,$N$30&lt;&gt;"")</formula>
    </cfRule>
    <cfRule type="expression" dxfId="15" priority="17" stopIfTrue="1">
      <formula>AND($N$30&lt;&gt;"",$P$30="")</formula>
    </cfRule>
  </conditionalFormatting>
  <conditionalFormatting sqref="R30:S30">
    <cfRule type="expression" dxfId="14" priority="20" stopIfTrue="1">
      <formula>AND($P$30&lt;0,$R$30&gt;0,$R$30&lt;&gt;"")</formula>
    </cfRule>
    <cfRule type="expression" dxfId="13" priority="21" stopIfTrue="1">
      <formula>AND($R$30&lt;&gt;"",$T$30="")</formula>
    </cfRule>
  </conditionalFormatting>
  <conditionalFormatting sqref="T30:U30">
    <cfRule type="expression" dxfId="12" priority="22" stopIfTrue="1">
      <formula>AND($R$30&lt;0,$T$30&gt;0,$T$30&lt;&gt;"")</formula>
    </cfRule>
    <cfRule type="expression" dxfId="11" priority="23" stopIfTrue="1">
      <formula>AND($T$30&lt;&gt;"",$V$30="")</formula>
    </cfRule>
  </conditionalFormatting>
  <conditionalFormatting sqref="V30:W30">
    <cfRule type="expression" dxfId="10" priority="24" stopIfTrue="1">
      <formula>AND($T$30&lt;0,$V$30&gt;0,$V$30&lt;&gt;"")</formula>
    </cfRule>
    <cfRule type="expression" dxfId="9" priority="25" stopIfTrue="1">
      <formula>AND($V$30&lt;&gt;"",$X$30="")</formula>
    </cfRule>
  </conditionalFormatting>
  <conditionalFormatting sqref="X30:Y30">
    <cfRule type="expression" dxfId="8" priority="26" stopIfTrue="1">
      <formula>AND($V$30&lt;0,$X$30&gt;0,$X$30&lt;&gt;"")</formula>
    </cfRule>
    <cfRule type="expression" dxfId="7" priority="27" stopIfTrue="1">
      <formula>AND($X$30&lt;&gt;"",$Z$30="")</formula>
    </cfRule>
  </conditionalFormatting>
  <conditionalFormatting sqref="Z30:AA30">
    <cfRule type="expression" dxfId="6" priority="28" stopIfTrue="1">
      <formula>AND($X$30&lt;0,$Z$30&gt;0,$Z$30&lt;&gt;"")</formula>
    </cfRule>
    <cfRule type="expression" dxfId="5" priority="29" stopIfTrue="1">
      <formula>AND($Z$30&lt;&gt;"",$AB$30="")</formula>
    </cfRule>
  </conditionalFormatting>
  <conditionalFormatting sqref="AB30:AC30">
    <cfRule type="expression" dxfId="4" priority="30" stopIfTrue="1">
      <formula>AND($Z$30&lt;0,$AB$30&gt;0,$AB$30&lt;&gt;"")</formula>
    </cfRule>
    <cfRule type="expression" dxfId="3" priority="31" stopIfTrue="1">
      <formula>AND($AB$30&lt;&gt;"",$AD$30="")</formula>
    </cfRule>
  </conditionalFormatting>
  <conditionalFormatting sqref="AD30:AE30">
    <cfRule type="expression" dxfId="2" priority="32" stopIfTrue="1">
      <formula>AND($AB$30&lt;0,$AD$30&gt;0,$AD$30&lt;&gt;"")</formula>
    </cfRule>
    <cfRule type="expression" dxfId="1" priority="33" stopIfTrue="1">
      <formula>$AD$29&gt;0</formula>
    </cfRule>
  </conditionalFormatting>
  <conditionalFormatting sqref="F24:AE24 F18:AE18 F28:AE28 F29 H29 J29 L29 N29 P29 R29 T29 V29 X29 Z29 AB29 AD29">
    <cfRule type="cellIs" dxfId="0" priority="6" stopIfTrue="1" operator="equal">
      <formula>0</formula>
    </cfRule>
  </conditionalFormatting>
  <dataValidations count="1">
    <dataValidation type="date" imeMode="off" operator="greaterThanOrEqual" allowBlank="1" showErrorMessage="1" sqref="F1">
      <formula1>1</formula1>
    </dataValidation>
  </dataValidations>
  <printOptions horizontalCentered="1"/>
  <pageMargins left="0" right="0" top="0.9055118110236221" bottom="0.35433070866141736" header="0.51181102362204722" footer="0.15748031496062992"/>
  <pageSetup paperSize="8" scale="80" pageOrder="overThenDown" orientation="landscape" r:id="rId1"/>
  <headerFooter alignWithMargins="0">
    <oddHeader>&amp;R月別受入費等明細（9D, A9D）：2020年度版</oddHeader>
  </headerFooter>
  <ignoredErrors>
    <ignoredError sqref="O22 N22:N23 P22:P23 R22:R23 T22:T23 V22:V23 X22:X23 Z22:Z23 AB22:AB23 G22 I22 K22 W22 Y22 AA22 AC22 AD23 Q22 S22 U22 M22 I1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07"/>
  <sheetViews>
    <sheetView showGridLines="0" zoomScaleNormal="100" workbookViewId="0"/>
  </sheetViews>
  <sheetFormatPr defaultColWidth="10.625" defaultRowHeight="13.5" customHeight="1" x14ac:dyDescent="0.15"/>
  <cols>
    <col min="1" max="1" width="3" style="1" customWidth="1"/>
    <col min="2" max="2" width="13.125" style="1" customWidth="1"/>
    <col min="3" max="3" width="31.125" style="1" customWidth="1"/>
    <col min="4" max="5" width="10.625" style="1" customWidth="1"/>
    <col min="6" max="16384" width="10.625" style="1"/>
  </cols>
  <sheetData>
    <row r="1" spans="1:22" ht="13.5" customHeight="1" x14ac:dyDescent="0.15">
      <c r="A1" s="3"/>
      <c r="B1" s="1" t="s">
        <v>230</v>
      </c>
    </row>
    <row r="2" spans="1:22" ht="13.5" customHeight="1" x14ac:dyDescent="0.15">
      <c r="B2" s="184" t="s">
        <v>238</v>
      </c>
    </row>
    <row r="3" spans="1:22" ht="13.5" customHeight="1" thickBot="1" x14ac:dyDescent="0.2">
      <c r="B3" s="1" t="s">
        <v>28</v>
      </c>
      <c r="I3" s="1" t="s">
        <v>141</v>
      </c>
      <c r="O3" s="1" t="s">
        <v>226</v>
      </c>
      <c r="Q3"/>
    </row>
    <row r="4" spans="1:22" ht="13.5" customHeight="1" thickBot="1" x14ac:dyDescent="0.2">
      <c r="B4" s="153" t="s">
        <v>99</v>
      </c>
      <c r="C4" s="154" t="s">
        <v>100</v>
      </c>
      <c r="D4" s="798" t="s">
        <v>50</v>
      </c>
      <c r="E4" s="799"/>
      <c r="I4" s="159"/>
      <c r="J4" s="160"/>
      <c r="K4" s="154" t="s">
        <v>31</v>
      </c>
      <c r="L4" s="798" t="s">
        <v>50</v>
      </c>
      <c r="M4" s="800"/>
      <c r="O4" s="789" t="s">
        <v>120</v>
      </c>
      <c r="P4" s="801" t="s">
        <v>121</v>
      </c>
      <c r="Q4" s="802"/>
      <c r="V4" s="2"/>
    </row>
    <row r="5" spans="1:22" ht="13.5" customHeight="1" thickTop="1" thickBot="1" x14ac:dyDescent="0.2">
      <c r="B5" s="86" t="s">
        <v>81</v>
      </c>
      <c r="C5" s="87">
        <f>$C$8-1</f>
        <v>43935</v>
      </c>
      <c r="D5" s="88" t="s">
        <v>114</v>
      </c>
      <c r="E5" s="89">
        <f>YEAR(DATE(YEAR(C5),MONTH(C5)-2,0))</f>
        <v>2020</v>
      </c>
      <c r="I5" s="43" t="str">
        <f>MATCH(J5,$L$15:$L$27,0)&amp;"ヶ月目"</f>
        <v>1ヶ月目</v>
      </c>
      <c r="J5" s="92" t="str">
        <f>VLOOKUP(YEAR(C5)&amp;"/"&amp;MONTH(C5),【研修日数】,1,FALSE)</f>
        <v>2020/4</v>
      </c>
      <c r="K5" s="34">
        <f>'9D,A9D費用試算'!$M$14</f>
        <v>0</v>
      </c>
      <c r="L5" s="42" t="s">
        <v>142</v>
      </c>
      <c r="M5" s="44" t="str">
        <f>VLOOKUP(D7,【日程表】,5,FALSE)</f>
        <v>KKC</v>
      </c>
      <c r="O5" s="790"/>
      <c r="P5" s="186" t="s">
        <v>122</v>
      </c>
      <c r="Q5" s="161" t="s">
        <v>128</v>
      </c>
      <c r="V5" s="2"/>
    </row>
    <row r="6" spans="1:22" ht="13.5" customHeight="1" thickTop="1" x14ac:dyDescent="0.15">
      <c r="B6" s="6" t="s">
        <v>8</v>
      </c>
      <c r="C6" s="164">
        <f>'9D,A9D費用試算'!$F$12</f>
        <v>351</v>
      </c>
      <c r="D6" s="7"/>
      <c r="E6" s="8"/>
      <c r="I6" s="93" t="str">
        <f>IF(J6="","",MATCH(J6,$L$15:$L$27,0)&amp;"ヶ月目")</f>
        <v>1ヶ月目</v>
      </c>
      <c r="J6" s="92" t="str">
        <f>IF(C10=0,"",VLOOKUP(YEAR(C10)&amp;"/"&amp;MONTH(C10),【研修日数】,1,FALSE))</f>
        <v>2020/4</v>
      </c>
      <c r="K6" s="34">
        <f>'9D,A9D費用試算'!$M$15</f>
        <v>0</v>
      </c>
      <c r="L6" s="94" t="s">
        <v>125</v>
      </c>
      <c r="M6" s="44"/>
      <c r="O6" s="98" t="s">
        <v>123</v>
      </c>
      <c r="P6" s="99">
        <v>2630</v>
      </c>
      <c r="Q6" s="100"/>
      <c r="V6" s="2"/>
    </row>
    <row r="7" spans="1:22" ht="13.5" customHeight="1" thickBot="1" x14ac:dyDescent="0.2">
      <c r="B7" s="71" t="s">
        <v>9</v>
      </c>
      <c r="C7" s="72" t="str">
        <f>VLOOKUP(D7,【日程表】,2,FALSE)</f>
        <v>2020/04/15～2020/04/23(9日・KKC)</v>
      </c>
      <c r="D7" s="26">
        <v>1</v>
      </c>
      <c r="E7" s="73" t="s">
        <v>73</v>
      </c>
      <c r="I7" s="45" t="str">
        <f>MATCH(J7,$L$15:$L$27,0)&amp;"ヶ月目"</f>
        <v>12ヶ月目</v>
      </c>
      <c r="J7" s="31" t="str">
        <f>VLOOKUP(YEAR(C14)&amp;"/"&amp;MONTH(C14),【研修日数】,1,FALSE)</f>
        <v>2021/3</v>
      </c>
      <c r="K7" s="32">
        <f>'9D,A9D費用試算'!$M$16</f>
        <v>0</v>
      </c>
      <c r="L7" s="33" t="s">
        <v>126</v>
      </c>
      <c r="M7" s="46"/>
      <c r="O7" s="39" t="s">
        <v>124</v>
      </c>
      <c r="P7" s="40"/>
      <c r="Q7" s="41">
        <v>890</v>
      </c>
      <c r="V7" s="2"/>
    </row>
    <row r="8" spans="1:22" ht="13.5" customHeight="1" thickBot="1" x14ac:dyDescent="0.2">
      <c r="B8" s="21" t="s">
        <v>58</v>
      </c>
      <c r="C8" s="24">
        <f>VLOOKUP($D$7,【日程表】,3,FALSE)</f>
        <v>43936</v>
      </c>
      <c r="D8" s="27"/>
      <c r="E8" s="28"/>
      <c r="I8" s="803" t="s">
        <v>5</v>
      </c>
      <c r="J8" s="804"/>
      <c r="K8" s="95">
        <f>SUM(K5:K7)</f>
        <v>0</v>
      </c>
      <c r="L8" s="96"/>
      <c r="M8" s="97"/>
      <c r="V8" s="2"/>
    </row>
    <row r="9" spans="1:22" ht="13.5" customHeight="1" x14ac:dyDescent="0.15">
      <c r="B9" s="82" t="s">
        <v>117</v>
      </c>
      <c r="C9" s="83">
        <f>VLOOKUP(D7,【日程表】,6,FALSE)</f>
        <v>10</v>
      </c>
      <c r="D9" s="84" t="s">
        <v>101</v>
      </c>
      <c r="E9" s="85"/>
      <c r="V9" s="2"/>
    </row>
    <row r="10" spans="1:22" ht="13.5" customHeight="1" x14ac:dyDescent="0.15">
      <c r="B10" s="22" t="s">
        <v>59</v>
      </c>
      <c r="C10" s="25">
        <f>VLOOKUP($D$7,【日程表】,4,FALSE)</f>
        <v>43944</v>
      </c>
      <c r="D10" s="29"/>
      <c r="E10" s="30"/>
      <c r="V10" s="2"/>
    </row>
    <row r="11" spans="1:22" ht="13.5" customHeight="1" thickBot="1" x14ac:dyDescent="0.2">
      <c r="B11" s="180" t="s">
        <v>227</v>
      </c>
      <c r="C11" s="181" t="str">
        <f>IF(C9&gt;11,$C$10-13,"")</f>
        <v/>
      </c>
      <c r="D11" s="181" t="str">
        <f>IF(C11="","",$C$11+2)</f>
        <v/>
      </c>
      <c r="E11" s="182"/>
      <c r="I11" s="1" t="s">
        <v>29</v>
      </c>
      <c r="J11" s="4"/>
      <c r="N11" s="2"/>
      <c r="V11" s="2"/>
    </row>
    <row r="12" spans="1:22" ht="13.5" customHeight="1" x14ac:dyDescent="0.15">
      <c r="B12" s="74" t="s">
        <v>56</v>
      </c>
      <c r="C12" s="75">
        <f>IF(C13=0,0,C10+1)</f>
        <v>43945</v>
      </c>
      <c r="D12" s="76"/>
      <c r="E12" s="77"/>
      <c r="I12" s="808"/>
      <c r="J12" s="784" t="s">
        <v>105</v>
      </c>
      <c r="K12" s="784" t="s">
        <v>106</v>
      </c>
      <c r="L12" s="784" t="s">
        <v>109</v>
      </c>
      <c r="M12" s="784" t="s">
        <v>108</v>
      </c>
      <c r="N12" s="805" t="s">
        <v>107</v>
      </c>
      <c r="O12" s="784" t="s">
        <v>71</v>
      </c>
      <c r="P12" s="784" t="s">
        <v>61</v>
      </c>
      <c r="Q12" s="784" t="s">
        <v>102</v>
      </c>
      <c r="R12" s="805" t="s">
        <v>190</v>
      </c>
      <c r="S12" s="784" t="s">
        <v>63</v>
      </c>
      <c r="T12" s="784" t="s">
        <v>65</v>
      </c>
      <c r="U12" s="795" t="s">
        <v>64</v>
      </c>
      <c r="V12" s="2"/>
    </row>
    <row r="13" spans="1:22" ht="13.5" customHeight="1" x14ac:dyDescent="0.15">
      <c r="B13" s="22" t="s">
        <v>117</v>
      </c>
      <c r="C13" s="23">
        <f>$C$6-$C$9</f>
        <v>341</v>
      </c>
      <c r="D13" s="29"/>
      <c r="E13" s="30"/>
      <c r="I13" s="809"/>
      <c r="J13" s="785"/>
      <c r="K13" s="785"/>
      <c r="L13" s="785"/>
      <c r="M13" s="785"/>
      <c r="N13" s="806"/>
      <c r="O13" s="785"/>
      <c r="P13" s="785"/>
      <c r="Q13" s="785"/>
      <c r="R13" s="806"/>
      <c r="S13" s="785"/>
      <c r="T13" s="785"/>
      <c r="U13" s="796"/>
      <c r="V13" s="2"/>
    </row>
    <row r="14" spans="1:22" ht="13.5" customHeight="1" thickBot="1" x14ac:dyDescent="0.2">
      <c r="B14" s="78" t="s">
        <v>110</v>
      </c>
      <c r="C14" s="79">
        <f>C10+C13</f>
        <v>44285</v>
      </c>
      <c r="D14" s="80" t="s">
        <v>114</v>
      </c>
      <c r="E14" s="81">
        <f>YEAR(DATE(YEAR(C14),MONTH(C14)-2,0))</f>
        <v>2020</v>
      </c>
      <c r="I14" s="810"/>
      <c r="J14" s="786"/>
      <c r="K14" s="786"/>
      <c r="L14" s="786"/>
      <c r="M14" s="786"/>
      <c r="N14" s="807"/>
      <c r="O14" s="786"/>
      <c r="P14" s="786"/>
      <c r="Q14" s="786"/>
      <c r="R14" s="807"/>
      <c r="S14" s="786"/>
      <c r="T14" s="786"/>
      <c r="U14" s="797"/>
      <c r="V14" s="2"/>
    </row>
    <row r="15" spans="1:22" ht="13.5" customHeight="1" thickTop="1" x14ac:dyDescent="0.15">
      <c r="I15" s="101" t="s">
        <v>13</v>
      </c>
      <c r="J15" s="102">
        <f>YEAR(C5)</f>
        <v>2020</v>
      </c>
      <c r="K15" s="103">
        <f>MONTH(C5)</f>
        <v>4</v>
      </c>
      <c r="L15" s="104" t="str">
        <f>J15&amp;"/"&amp;K15</f>
        <v>2020/4</v>
      </c>
      <c r="M15" s="103">
        <f t="shared" ref="M15:M27" si="0">VLOOKUP(K15,【月別標準日数】,3,FALSE)</f>
        <v>30</v>
      </c>
      <c r="N15" s="87">
        <f>DATE(J15,K15,M15)</f>
        <v>43951</v>
      </c>
      <c r="O15" s="105" t="str">
        <f>IF(OR(MOD(YEAR(N15),400)=0,AND(MOD(YEAR(N15),4)=0,MOD(YEAR(N15),100)&lt;&gt;0,MONTH(N15)=2)),"○","×")</f>
        <v>×</v>
      </c>
      <c r="P15" s="106">
        <f t="shared" ref="P15:P27" si="1">IF(O15="×",N15,N15+1)</f>
        <v>43951</v>
      </c>
      <c r="Q15" s="107">
        <f t="shared" ref="Q15:Q27" si="2">DAY(P15)</f>
        <v>30</v>
      </c>
      <c r="R15" s="108">
        <f t="shared" ref="R15:R27" si="3">DATEDIF($C$5,P15,"D")+1</f>
        <v>17</v>
      </c>
      <c r="S15" s="109">
        <f>IF(R15&gt;=$C$6,$C$6,R15)</f>
        <v>17</v>
      </c>
      <c r="T15" s="109">
        <f>IF(($C$9-T14)&gt;S15,S15,($C$9-T14))</f>
        <v>10</v>
      </c>
      <c r="U15" s="110">
        <f t="shared" ref="U15:U27" si="4">S15-T15</f>
        <v>7</v>
      </c>
      <c r="V15" s="2"/>
    </row>
    <row r="16" spans="1:22" ht="13.5" customHeight="1" thickBot="1" x14ac:dyDescent="0.2">
      <c r="H16" s="4"/>
      <c r="I16" s="10" t="s">
        <v>14</v>
      </c>
      <c r="J16" s="11">
        <f t="shared" ref="J16:J27" si="5">IF(K15=12,J15+1,J15)</f>
        <v>2020</v>
      </c>
      <c r="K16" s="12">
        <f>IF(K15=12,1,K15+1)</f>
        <v>5</v>
      </c>
      <c r="L16" s="13" t="str">
        <f t="shared" ref="L16:L27" si="6">J16&amp;"/"&amp;K16</f>
        <v>2020/5</v>
      </c>
      <c r="M16" s="12">
        <f t="shared" si="0"/>
        <v>31</v>
      </c>
      <c r="N16" s="9">
        <f t="shared" ref="N16:N27" si="7">DATE(J16,K16,M16)</f>
        <v>43982</v>
      </c>
      <c r="O16" s="14" t="str">
        <f t="shared" ref="O16:O27" si="8">IF(OR(MOD(YEAR(N16),400)=0,AND(MOD(YEAR(N16),4)=0,MOD(YEAR(N16),100)&lt;&gt;0,MONTH(N16)=2)),"○","×")</f>
        <v>×</v>
      </c>
      <c r="P16" s="15">
        <f t="shared" si="1"/>
        <v>43982</v>
      </c>
      <c r="Q16" s="16">
        <f t="shared" si="2"/>
        <v>31</v>
      </c>
      <c r="R16" s="17">
        <f t="shared" si="3"/>
        <v>48</v>
      </c>
      <c r="S16" s="18">
        <f>IF(S15=$C$6,0,IF(R16&gt;$C$6,$C$6-R15,Q16))</f>
        <v>31</v>
      </c>
      <c r="T16" s="18">
        <f>IF(($C$9-T15)&gt;S16,S16,($C$9-T15))</f>
        <v>0</v>
      </c>
      <c r="U16" s="19">
        <f t="shared" si="4"/>
        <v>31</v>
      </c>
    </row>
    <row r="17" spans="1:21" ht="13.5" customHeight="1" x14ac:dyDescent="0.15">
      <c r="B17" s="155" t="s">
        <v>158</v>
      </c>
      <c r="C17" s="145" t="s">
        <v>155</v>
      </c>
      <c r="D17" s="638">
        <v>630</v>
      </c>
      <c r="H17" s="4"/>
      <c r="I17" s="10" t="s">
        <v>15</v>
      </c>
      <c r="J17" s="11">
        <f t="shared" si="5"/>
        <v>2020</v>
      </c>
      <c r="K17" s="12">
        <f t="shared" ref="K17:K27" si="9">IF(K16=12,1,K16+1)</f>
        <v>6</v>
      </c>
      <c r="L17" s="13" t="str">
        <f t="shared" si="6"/>
        <v>2020/6</v>
      </c>
      <c r="M17" s="12">
        <f t="shared" si="0"/>
        <v>30</v>
      </c>
      <c r="N17" s="9">
        <f t="shared" si="7"/>
        <v>44012</v>
      </c>
      <c r="O17" s="14" t="str">
        <f t="shared" si="8"/>
        <v>×</v>
      </c>
      <c r="P17" s="15">
        <f t="shared" si="1"/>
        <v>44012</v>
      </c>
      <c r="Q17" s="16">
        <f t="shared" si="2"/>
        <v>30</v>
      </c>
      <c r="R17" s="17">
        <f t="shared" si="3"/>
        <v>78</v>
      </c>
      <c r="S17" s="18">
        <f>IF(SUM(S15:S16)=$C$6,0,IF(R17&gt;$C$6,$C$6-R16,Q17))</f>
        <v>30</v>
      </c>
      <c r="T17" s="18">
        <f>IF(($C$9-SUM($T$15:T16))&gt;S17,S17,($C$9-SUM($T$15:T16)))</f>
        <v>0</v>
      </c>
      <c r="U17" s="19">
        <f t="shared" si="4"/>
        <v>30</v>
      </c>
    </row>
    <row r="18" spans="1:21" ht="13.5" customHeight="1" x14ac:dyDescent="0.15">
      <c r="A18" s="4"/>
      <c r="B18" s="156"/>
      <c r="C18" s="146" t="s">
        <v>156</v>
      </c>
      <c r="D18" s="639">
        <v>840</v>
      </c>
      <c r="H18" s="4"/>
      <c r="I18" s="10" t="s">
        <v>16</v>
      </c>
      <c r="J18" s="11">
        <f t="shared" si="5"/>
        <v>2020</v>
      </c>
      <c r="K18" s="12">
        <f t="shared" si="9"/>
        <v>7</v>
      </c>
      <c r="L18" s="13" t="str">
        <f t="shared" si="6"/>
        <v>2020/7</v>
      </c>
      <c r="M18" s="12">
        <f t="shared" si="0"/>
        <v>31</v>
      </c>
      <c r="N18" s="9">
        <f t="shared" si="7"/>
        <v>44043</v>
      </c>
      <c r="O18" s="14" t="str">
        <f t="shared" si="8"/>
        <v>×</v>
      </c>
      <c r="P18" s="15">
        <f t="shared" si="1"/>
        <v>44043</v>
      </c>
      <c r="Q18" s="16">
        <f t="shared" si="2"/>
        <v>31</v>
      </c>
      <c r="R18" s="17">
        <f t="shared" si="3"/>
        <v>109</v>
      </c>
      <c r="S18" s="18">
        <f>IF(SUM(S15:S17)=$C$6,0,IF(R18&gt;$C$6,$C$6-R17,Q18))</f>
        <v>31</v>
      </c>
      <c r="T18" s="18">
        <f>IF(($C$9-SUM($T$15:T17))&gt;S18,S18,($C$9-SUM($T$15:T17)))</f>
        <v>0</v>
      </c>
      <c r="U18" s="19">
        <f t="shared" si="4"/>
        <v>31</v>
      </c>
    </row>
    <row r="19" spans="1:21" ht="13.5" customHeight="1" x14ac:dyDescent="0.15">
      <c r="A19" s="4"/>
      <c r="B19" s="156"/>
      <c r="C19" s="165" t="s">
        <v>157</v>
      </c>
      <c r="D19" s="640">
        <v>1150</v>
      </c>
      <c r="H19" s="4"/>
      <c r="I19" s="10" t="s">
        <v>17</v>
      </c>
      <c r="J19" s="11">
        <f t="shared" si="5"/>
        <v>2020</v>
      </c>
      <c r="K19" s="12">
        <f t="shared" si="9"/>
        <v>8</v>
      </c>
      <c r="L19" s="13" t="str">
        <f t="shared" si="6"/>
        <v>2020/8</v>
      </c>
      <c r="M19" s="12">
        <f t="shared" si="0"/>
        <v>31</v>
      </c>
      <c r="N19" s="9">
        <f t="shared" si="7"/>
        <v>44074</v>
      </c>
      <c r="O19" s="14" t="str">
        <f t="shared" si="8"/>
        <v>×</v>
      </c>
      <c r="P19" s="15">
        <f t="shared" si="1"/>
        <v>44074</v>
      </c>
      <c r="Q19" s="16">
        <f t="shared" si="2"/>
        <v>31</v>
      </c>
      <c r="R19" s="17">
        <f t="shared" si="3"/>
        <v>140</v>
      </c>
      <c r="S19" s="18">
        <f>IF(SUM(S15:S18)=$C$6,0,IF(R19&gt;$C$6,$C$6-R18,Q19))</f>
        <v>31</v>
      </c>
      <c r="T19" s="18">
        <f>IF(($C$9-SUM($T$15:T18))&gt;S19,S19,($C$9-SUM($T$15:T18)))</f>
        <v>0</v>
      </c>
      <c r="U19" s="19">
        <f t="shared" si="4"/>
        <v>31</v>
      </c>
    </row>
    <row r="20" spans="1:21" ht="13.5" customHeight="1" x14ac:dyDescent="0.15">
      <c r="A20" s="4"/>
      <c r="B20" s="167" t="s">
        <v>2</v>
      </c>
      <c r="C20" s="146" t="s">
        <v>2</v>
      </c>
      <c r="D20" s="639">
        <v>1040</v>
      </c>
      <c r="H20" s="4"/>
      <c r="I20" s="10" t="s">
        <v>18</v>
      </c>
      <c r="J20" s="11">
        <f t="shared" si="5"/>
        <v>2020</v>
      </c>
      <c r="K20" s="12">
        <f t="shared" si="9"/>
        <v>9</v>
      </c>
      <c r="L20" s="13" t="str">
        <f t="shared" si="6"/>
        <v>2020/9</v>
      </c>
      <c r="M20" s="12">
        <f t="shared" si="0"/>
        <v>30</v>
      </c>
      <c r="N20" s="9">
        <f t="shared" si="7"/>
        <v>44104</v>
      </c>
      <c r="O20" s="14" t="str">
        <f t="shared" si="8"/>
        <v>×</v>
      </c>
      <c r="P20" s="15">
        <f t="shared" si="1"/>
        <v>44104</v>
      </c>
      <c r="Q20" s="16">
        <f t="shared" si="2"/>
        <v>30</v>
      </c>
      <c r="R20" s="17">
        <f t="shared" si="3"/>
        <v>170</v>
      </c>
      <c r="S20" s="18">
        <f>IF(SUM(S15:S19)=$C$6,0,IF(R20&gt;$C$6,$C$6-R19,Q20))</f>
        <v>30</v>
      </c>
      <c r="T20" s="18">
        <f>IF(($C$9-SUM($T$15:T19))&gt;S20,S20,($C$9-SUM($T$15:T19)))</f>
        <v>0</v>
      </c>
      <c r="U20" s="19">
        <f t="shared" si="4"/>
        <v>30</v>
      </c>
    </row>
    <row r="21" spans="1:21" ht="13.5" customHeight="1" x14ac:dyDescent="0.15">
      <c r="A21" s="4"/>
      <c r="B21" s="157" t="s">
        <v>10</v>
      </c>
      <c r="C21" s="166" t="s">
        <v>241</v>
      </c>
      <c r="D21" s="641">
        <v>3360</v>
      </c>
      <c r="H21" s="4"/>
      <c r="I21" s="10" t="s">
        <v>19</v>
      </c>
      <c r="J21" s="11">
        <f t="shared" si="5"/>
        <v>2020</v>
      </c>
      <c r="K21" s="12">
        <f t="shared" si="9"/>
        <v>10</v>
      </c>
      <c r="L21" s="13" t="str">
        <f t="shared" si="6"/>
        <v>2020/10</v>
      </c>
      <c r="M21" s="12">
        <f t="shared" si="0"/>
        <v>31</v>
      </c>
      <c r="N21" s="9">
        <f t="shared" si="7"/>
        <v>44135</v>
      </c>
      <c r="O21" s="14" t="str">
        <f t="shared" si="8"/>
        <v>×</v>
      </c>
      <c r="P21" s="15">
        <f t="shared" si="1"/>
        <v>44135</v>
      </c>
      <c r="Q21" s="16">
        <f t="shared" si="2"/>
        <v>31</v>
      </c>
      <c r="R21" s="17">
        <f t="shared" si="3"/>
        <v>201</v>
      </c>
      <c r="S21" s="18">
        <f>IF(SUM(S15:S20)=$C$6,0,IF(R21&gt;$C$6,$C$6-R20,Q21))</f>
        <v>31</v>
      </c>
      <c r="T21" s="18">
        <f>IF(($C$9-SUM($T$15:T20))&gt;S21,S21,($C$9-SUM($T$15:T20)))</f>
        <v>0</v>
      </c>
      <c r="U21" s="19">
        <f t="shared" si="4"/>
        <v>31</v>
      </c>
    </row>
    <row r="22" spans="1:21" ht="13.5" customHeight="1" thickBot="1" x14ac:dyDescent="0.2">
      <c r="A22" s="4"/>
      <c r="B22" s="158"/>
      <c r="C22" s="147" t="s">
        <v>159</v>
      </c>
      <c r="D22" s="148">
        <v>5190</v>
      </c>
      <c r="E22" s="4"/>
      <c r="H22" s="4"/>
      <c r="I22" s="10" t="s">
        <v>20</v>
      </c>
      <c r="J22" s="11">
        <f t="shared" si="5"/>
        <v>2020</v>
      </c>
      <c r="K22" s="12">
        <f t="shared" si="9"/>
        <v>11</v>
      </c>
      <c r="L22" s="13" t="str">
        <f t="shared" si="6"/>
        <v>2020/11</v>
      </c>
      <c r="M22" s="12">
        <f t="shared" si="0"/>
        <v>30</v>
      </c>
      <c r="N22" s="9">
        <f t="shared" si="7"/>
        <v>44165</v>
      </c>
      <c r="O22" s="14" t="str">
        <f t="shared" si="8"/>
        <v>×</v>
      </c>
      <c r="P22" s="15">
        <f t="shared" si="1"/>
        <v>44165</v>
      </c>
      <c r="Q22" s="16">
        <f t="shared" si="2"/>
        <v>30</v>
      </c>
      <c r="R22" s="17">
        <f t="shared" si="3"/>
        <v>231</v>
      </c>
      <c r="S22" s="18">
        <f>IF(SUM(S15:S21)=$C$6,0,IF(R22&gt;$C$6,$C$6-R21,Q22))</f>
        <v>30</v>
      </c>
      <c r="T22" s="18">
        <f>IF(($C$9-SUM($T$15:T21))&gt;S22,S22,($C$9-SUM($T$15:T21)))</f>
        <v>0</v>
      </c>
      <c r="U22" s="19">
        <f t="shared" si="4"/>
        <v>30</v>
      </c>
    </row>
    <row r="23" spans="1:21" ht="13.5" customHeight="1" x14ac:dyDescent="0.15">
      <c r="A23" s="4"/>
      <c r="B23" s="4"/>
      <c r="C23" s="4"/>
      <c r="D23" s="4"/>
      <c r="E23" s="4"/>
      <c r="F23" s="4"/>
      <c r="G23" s="4"/>
      <c r="H23" s="4"/>
      <c r="I23" s="10" t="s">
        <v>21</v>
      </c>
      <c r="J23" s="11">
        <f t="shared" si="5"/>
        <v>2020</v>
      </c>
      <c r="K23" s="12">
        <f t="shared" si="9"/>
        <v>12</v>
      </c>
      <c r="L23" s="13" t="str">
        <f t="shared" si="6"/>
        <v>2020/12</v>
      </c>
      <c r="M23" s="12">
        <f t="shared" si="0"/>
        <v>31</v>
      </c>
      <c r="N23" s="9">
        <f t="shared" si="7"/>
        <v>44196</v>
      </c>
      <c r="O23" s="14" t="str">
        <f t="shared" si="8"/>
        <v>×</v>
      </c>
      <c r="P23" s="15">
        <f t="shared" si="1"/>
        <v>44196</v>
      </c>
      <c r="Q23" s="16">
        <f t="shared" si="2"/>
        <v>31</v>
      </c>
      <c r="R23" s="17">
        <f t="shared" si="3"/>
        <v>262</v>
      </c>
      <c r="S23" s="18">
        <f>IF(SUM(S15:S22)=$C$6,0,IF(R23&gt;$C$6,$C$6-R22,Q23))</f>
        <v>31</v>
      </c>
      <c r="T23" s="18">
        <f>IF(($C$9-SUM($T$15:T22))&gt;S23,S23,($C$9-SUM($T$15:T22)))</f>
        <v>0</v>
      </c>
      <c r="U23" s="19">
        <f t="shared" si="4"/>
        <v>31</v>
      </c>
    </row>
    <row r="24" spans="1:21" ht="13.5" customHeight="1" x14ac:dyDescent="0.15">
      <c r="A24" s="4"/>
      <c r="H24" s="4"/>
      <c r="I24" s="10" t="s">
        <v>22</v>
      </c>
      <c r="J24" s="11">
        <f t="shared" si="5"/>
        <v>2021</v>
      </c>
      <c r="K24" s="12">
        <f t="shared" si="9"/>
        <v>1</v>
      </c>
      <c r="L24" s="13" t="str">
        <f t="shared" si="6"/>
        <v>2021/1</v>
      </c>
      <c r="M24" s="12">
        <f t="shared" si="0"/>
        <v>31</v>
      </c>
      <c r="N24" s="9">
        <f t="shared" si="7"/>
        <v>44227</v>
      </c>
      <c r="O24" s="14" t="str">
        <f t="shared" si="8"/>
        <v>×</v>
      </c>
      <c r="P24" s="15">
        <f t="shared" si="1"/>
        <v>44227</v>
      </c>
      <c r="Q24" s="16">
        <f t="shared" si="2"/>
        <v>31</v>
      </c>
      <c r="R24" s="17">
        <f t="shared" si="3"/>
        <v>293</v>
      </c>
      <c r="S24" s="18">
        <f>IF(SUM(S15:S23)=$C$6,0,IF(R24&gt;$C$6,$C$6-R23,Q24))</f>
        <v>31</v>
      </c>
      <c r="T24" s="18">
        <f>IF(($C$9-SUM($T$15:T23))&gt;S24,S24,($C$9-SUM($T$15:T23)))</f>
        <v>0</v>
      </c>
      <c r="U24" s="19">
        <f t="shared" si="4"/>
        <v>31</v>
      </c>
    </row>
    <row r="25" spans="1:21" ht="13.5" customHeight="1" x14ac:dyDescent="0.15">
      <c r="A25" s="4"/>
      <c r="B25" s="35" t="s">
        <v>143</v>
      </c>
      <c r="H25" s="4"/>
      <c r="I25" s="10" t="s">
        <v>23</v>
      </c>
      <c r="J25" s="11">
        <f t="shared" si="5"/>
        <v>2021</v>
      </c>
      <c r="K25" s="12">
        <f t="shared" si="9"/>
        <v>2</v>
      </c>
      <c r="L25" s="13" t="str">
        <f t="shared" si="6"/>
        <v>2021/2</v>
      </c>
      <c r="M25" s="12">
        <f t="shared" si="0"/>
        <v>28</v>
      </c>
      <c r="N25" s="9">
        <f t="shared" si="7"/>
        <v>44255</v>
      </c>
      <c r="O25" s="14" t="str">
        <f t="shared" si="8"/>
        <v>×</v>
      </c>
      <c r="P25" s="15">
        <f t="shared" si="1"/>
        <v>44255</v>
      </c>
      <c r="Q25" s="16">
        <f t="shared" si="2"/>
        <v>28</v>
      </c>
      <c r="R25" s="17">
        <f t="shared" si="3"/>
        <v>321</v>
      </c>
      <c r="S25" s="18">
        <f>IF(SUM(S15:S24)=$C$6,0,IF(R25&gt;$C$6,$C$6-R24,Q25))</f>
        <v>28</v>
      </c>
      <c r="T25" s="18">
        <f>IF(($C$9-SUM($T$15:T24))&gt;S25,S25,($C$9-SUM($T$15:T24)))</f>
        <v>0</v>
      </c>
      <c r="U25" s="19">
        <f t="shared" si="4"/>
        <v>28</v>
      </c>
    </row>
    <row r="26" spans="1:21" ht="13.5" customHeight="1" thickBot="1" x14ac:dyDescent="0.2">
      <c r="A26" s="4"/>
      <c r="B26" s="47">
        <v>1</v>
      </c>
      <c r="F26" s="4" t="s">
        <v>133</v>
      </c>
      <c r="G26" s="5"/>
      <c r="H26" s="4"/>
      <c r="I26" s="10" t="s">
        <v>24</v>
      </c>
      <c r="J26" s="11">
        <f t="shared" si="5"/>
        <v>2021</v>
      </c>
      <c r="K26" s="12">
        <f t="shared" si="9"/>
        <v>3</v>
      </c>
      <c r="L26" s="13" t="str">
        <f t="shared" si="6"/>
        <v>2021/3</v>
      </c>
      <c r="M26" s="12">
        <f t="shared" si="0"/>
        <v>31</v>
      </c>
      <c r="N26" s="9">
        <f t="shared" si="7"/>
        <v>44286</v>
      </c>
      <c r="O26" s="14" t="str">
        <f t="shared" si="8"/>
        <v>×</v>
      </c>
      <c r="P26" s="15">
        <f t="shared" si="1"/>
        <v>44286</v>
      </c>
      <c r="Q26" s="16">
        <f t="shared" si="2"/>
        <v>31</v>
      </c>
      <c r="R26" s="17">
        <f t="shared" si="3"/>
        <v>352</v>
      </c>
      <c r="S26" s="18">
        <f>IF(SUM(S15:S25)=$C$6,0,IF(R26&gt;=$C$6,$C$6-R25,Q26))</f>
        <v>30</v>
      </c>
      <c r="T26" s="18">
        <f>IF(($C$9-SUM($T$15:T25))&gt;S26,S26,($C$9-SUM($T$15:T25)))</f>
        <v>0</v>
      </c>
      <c r="U26" s="19">
        <f t="shared" si="4"/>
        <v>30</v>
      </c>
    </row>
    <row r="27" spans="1:21" ht="13.5" customHeight="1" thickBot="1" x14ac:dyDescent="0.2">
      <c r="A27" s="4"/>
      <c r="B27" s="159" t="s">
        <v>57</v>
      </c>
      <c r="C27" s="153" t="s">
        <v>72</v>
      </c>
      <c r="D27" s="187" t="s">
        <v>160</v>
      </c>
      <c r="F27" s="153" t="s">
        <v>57</v>
      </c>
      <c r="G27" s="153" t="s">
        <v>72</v>
      </c>
      <c r="H27" s="4"/>
      <c r="I27" s="111" t="s">
        <v>25</v>
      </c>
      <c r="J27" s="112">
        <f t="shared" si="5"/>
        <v>2021</v>
      </c>
      <c r="K27" s="113">
        <f t="shared" si="9"/>
        <v>4</v>
      </c>
      <c r="L27" s="114" t="str">
        <f t="shared" si="6"/>
        <v>2021/4</v>
      </c>
      <c r="M27" s="113">
        <f t="shared" si="0"/>
        <v>30</v>
      </c>
      <c r="N27" s="79">
        <f t="shared" si="7"/>
        <v>44316</v>
      </c>
      <c r="O27" s="115" t="str">
        <f t="shared" si="8"/>
        <v>×</v>
      </c>
      <c r="P27" s="116">
        <f t="shared" si="1"/>
        <v>44316</v>
      </c>
      <c r="Q27" s="117">
        <f t="shared" si="2"/>
        <v>30</v>
      </c>
      <c r="R27" s="118">
        <f t="shared" si="3"/>
        <v>382</v>
      </c>
      <c r="S27" s="119">
        <f>IF(SUM(S15:S26)=$C$6,0,IF(R27&gt;$C$6,$C$6-R26,Q27))</f>
        <v>0</v>
      </c>
      <c r="T27" s="119">
        <f>IF(($C$9-SUM($T$15:T26))&gt;S27,S27,($C$9-SUM($T$15:T26)))</f>
        <v>0</v>
      </c>
      <c r="U27" s="120">
        <f t="shared" si="4"/>
        <v>0</v>
      </c>
    </row>
    <row r="28" spans="1:21" ht="13.5" customHeight="1" thickTop="1" thickBot="1" x14ac:dyDescent="0.2">
      <c r="A28" s="4"/>
      <c r="B28" s="149">
        <v>1</v>
      </c>
      <c r="C28" s="38" t="s">
        <v>121</v>
      </c>
      <c r="D28" s="637">
        <v>6820</v>
      </c>
      <c r="F28" s="6">
        <v>1</v>
      </c>
      <c r="G28" s="90" t="s">
        <v>134</v>
      </c>
      <c r="H28" s="4"/>
      <c r="R28" s="20" t="s">
        <v>5</v>
      </c>
      <c r="S28" s="168">
        <f>SUM(S15:S27)</f>
        <v>351</v>
      </c>
      <c r="T28" s="168">
        <f>SUM(T15:T27)</f>
        <v>10</v>
      </c>
      <c r="U28" s="169">
        <f>SUM(U15:U27)</f>
        <v>341</v>
      </c>
    </row>
    <row r="29" spans="1:21" ht="13.5" customHeight="1" thickBot="1" x14ac:dyDescent="0.2">
      <c r="A29" s="4"/>
      <c r="B29" s="149">
        <v>2</v>
      </c>
      <c r="C29" s="38" t="s">
        <v>48</v>
      </c>
      <c r="D29" s="639">
        <v>1570</v>
      </c>
      <c r="F29" s="78">
        <v>2</v>
      </c>
      <c r="G29" s="91" t="s">
        <v>135</v>
      </c>
      <c r="H29" s="4"/>
    </row>
    <row r="30" spans="1:21" ht="13.5" customHeight="1" thickBot="1" x14ac:dyDescent="0.2">
      <c r="A30" s="4"/>
      <c r="B30" s="150">
        <v>3</v>
      </c>
      <c r="C30" s="152" t="s">
        <v>49</v>
      </c>
      <c r="D30" s="640">
        <v>6280</v>
      </c>
      <c r="H30" s="4"/>
      <c r="I30" s="1" t="s">
        <v>104</v>
      </c>
      <c r="M30" s="1" t="s">
        <v>228</v>
      </c>
    </row>
    <row r="31" spans="1:21" ht="13.5" customHeight="1" thickBot="1" x14ac:dyDescent="0.2">
      <c r="A31" s="4"/>
      <c r="B31" s="151"/>
      <c r="C31" s="78" t="s">
        <v>166</v>
      </c>
      <c r="D31" s="148">
        <v>0</v>
      </c>
      <c r="H31" s="4"/>
      <c r="I31" s="153" t="s">
        <v>57</v>
      </c>
      <c r="J31" s="154" t="s">
        <v>98</v>
      </c>
      <c r="K31" s="163" t="s">
        <v>103</v>
      </c>
      <c r="M31" s="171" t="s">
        <v>229</v>
      </c>
      <c r="N31" s="172" t="s">
        <v>229</v>
      </c>
      <c r="O31" s="173" t="s">
        <v>117</v>
      </c>
    </row>
    <row r="32" spans="1:21" ht="13.5" customHeight="1" thickTop="1" x14ac:dyDescent="0.15">
      <c r="A32" s="4"/>
      <c r="H32" s="4"/>
      <c r="I32" s="86">
        <v>1</v>
      </c>
      <c r="J32" s="126" t="s">
        <v>86</v>
      </c>
      <c r="K32" s="127">
        <v>31</v>
      </c>
      <c r="M32" s="174" t="str">
        <f>IF(C11="","",MONTH($C$11))</f>
        <v/>
      </c>
      <c r="N32" s="175" t="str">
        <f>IF(M32="","",MATCH(M32,$K$15:$K$27,0)&amp;"ヶ月目")</f>
        <v/>
      </c>
      <c r="O32" s="176" t="str">
        <f>IF(M32="","",IF(M33="",2,1))</f>
        <v/>
      </c>
    </row>
    <row r="33" spans="1:15" ht="13.5" customHeight="1" thickBot="1" x14ac:dyDescent="0.2">
      <c r="A33" s="4"/>
      <c r="B33" s="4"/>
      <c r="C33" s="4"/>
      <c r="D33" s="4"/>
      <c r="E33" s="4"/>
      <c r="F33" s="4"/>
      <c r="G33" s="4"/>
      <c r="H33" s="4"/>
      <c r="I33" s="38">
        <v>2</v>
      </c>
      <c r="J33" s="128" t="s">
        <v>87</v>
      </c>
      <c r="K33" s="129">
        <v>28</v>
      </c>
      <c r="M33" s="177" t="str">
        <f>IF(M32="","",IF(MONTH($C$11)=MONTH($D$11),"",MONTH($D$11)))</f>
        <v/>
      </c>
      <c r="N33" s="178" t="str">
        <f>IF(M33="","",MATCH(M33,$K$15:$K$27,0)&amp;"ヶ月目")</f>
        <v/>
      </c>
      <c r="O33" s="179" t="str">
        <f>IF(M33="","",1)</f>
        <v/>
      </c>
    </row>
    <row r="34" spans="1:15" ht="13.5" customHeight="1" x14ac:dyDescent="0.15">
      <c r="A34" s="4"/>
      <c r="B34" s="1" t="s">
        <v>164</v>
      </c>
      <c r="C34" s="4"/>
      <c r="D34" s="4"/>
      <c r="E34" s="4"/>
      <c r="F34" s="4"/>
      <c r="G34" s="4"/>
      <c r="H34" s="4"/>
      <c r="I34" s="38">
        <v>3</v>
      </c>
      <c r="J34" s="128" t="s">
        <v>88</v>
      </c>
      <c r="K34" s="129">
        <v>31</v>
      </c>
    </row>
    <row r="35" spans="1:15" ht="13.5" customHeight="1" thickBot="1" x14ac:dyDescent="0.2">
      <c r="A35" s="4"/>
      <c r="B35" s="5">
        <v>6</v>
      </c>
      <c r="G35" s="4"/>
      <c r="H35" s="4"/>
      <c r="I35" s="38">
        <v>4</v>
      </c>
      <c r="J35" s="128" t="s">
        <v>89</v>
      </c>
      <c r="K35" s="129">
        <v>30</v>
      </c>
    </row>
    <row r="36" spans="1:15" ht="13.5" customHeight="1" thickBot="1" x14ac:dyDescent="0.2">
      <c r="A36" s="4"/>
      <c r="B36" s="153" t="s">
        <v>57</v>
      </c>
      <c r="C36" s="154" t="s">
        <v>165</v>
      </c>
      <c r="D36" s="162" t="s">
        <v>129</v>
      </c>
      <c r="E36" s="163" t="s">
        <v>130</v>
      </c>
      <c r="F36" s="153" t="s">
        <v>3</v>
      </c>
      <c r="G36" s="153" t="s">
        <v>262</v>
      </c>
      <c r="H36" s="4"/>
      <c r="I36" s="38">
        <v>5</v>
      </c>
      <c r="J36" s="128" t="s">
        <v>90</v>
      </c>
      <c r="K36" s="129">
        <v>31</v>
      </c>
    </row>
    <row r="37" spans="1:15" ht="13.5" customHeight="1" thickTop="1" x14ac:dyDescent="0.15">
      <c r="A37" s="4"/>
      <c r="B37" s="132">
        <v>1</v>
      </c>
      <c r="C37" s="121" t="s">
        <v>264</v>
      </c>
      <c r="D37" s="122">
        <v>0.5</v>
      </c>
      <c r="E37" s="123">
        <f t="shared" ref="E37:E42" si="10">1-D37</f>
        <v>0.5</v>
      </c>
      <c r="F37" s="142">
        <f>【実地研修費_一般企業】</f>
        <v>3360</v>
      </c>
      <c r="G37" s="642">
        <v>179000</v>
      </c>
      <c r="H37" s="4"/>
      <c r="I37" s="38">
        <v>6</v>
      </c>
      <c r="J37" s="128" t="s">
        <v>91</v>
      </c>
      <c r="K37" s="129">
        <v>30</v>
      </c>
    </row>
    <row r="38" spans="1:15" ht="13.5" customHeight="1" x14ac:dyDescent="0.15">
      <c r="A38" s="4"/>
      <c r="B38" s="133">
        <v>2</v>
      </c>
      <c r="C38" s="134" t="s">
        <v>239</v>
      </c>
      <c r="D38" s="135">
        <v>0.33333333333333331</v>
      </c>
      <c r="E38" s="136">
        <f t="shared" si="10"/>
        <v>0.66666666666666674</v>
      </c>
      <c r="F38" s="143">
        <f>【実地研修費_一般企業】</f>
        <v>3360</v>
      </c>
      <c r="G38" s="643">
        <v>204000</v>
      </c>
      <c r="H38" s="4"/>
      <c r="I38" s="38">
        <v>7</v>
      </c>
      <c r="J38" s="128" t="s">
        <v>92</v>
      </c>
      <c r="K38" s="129">
        <v>31</v>
      </c>
    </row>
    <row r="39" spans="1:15" ht="13.5" customHeight="1" x14ac:dyDescent="0.15">
      <c r="A39" s="4"/>
      <c r="B39" s="133">
        <v>3</v>
      </c>
      <c r="C39" s="137" t="s">
        <v>240</v>
      </c>
      <c r="D39" s="135">
        <v>0.66666666666666663</v>
      </c>
      <c r="E39" s="136">
        <f t="shared" si="10"/>
        <v>0.33333333333333337</v>
      </c>
      <c r="F39" s="143">
        <f>【実地研修費_中堅・中小企業】</f>
        <v>5190</v>
      </c>
      <c r="G39" s="643">
        <v>162000</v>
      </c>
      <c r="H39" s="4"/>
      <c r="I39" s="38">
        <v>8</v>
      </c>
      <c r="J39" s="128" t="s">
        <v>93</v>
      </c>
      <c r="K39" s="129">
        <v>31</v>
      </c>
    </row>
    <row r="40" spans="1:15" ht="13.5" customHeight="1" x14ac:dyDescent="0.15">
      <c r="A40" s="4"/>
      <c r="B40" s="138">
        <v>4</v>
      </c>
      <c r="C40" s="139" t="s">
        <v>179</v>
      </c>
      <c r="D40" s="135">
        <v>0.5</v>
      </c>
      <c r="E40" s="136">
        <f t="shared" si="10"/>
        <v>0.5</v>
      </c>
      <c r="F40" s="143">
        <f>【実地研修費_一般企業】</f>
        <v>3360</v>
      </c>
      <c r="G40" s="643">
        <v>189000</v>
      </c>
      <c r="H40" s="4"/>
      <c r="I40" s="38">
        <v>9</v>
      </c>
      <c r="J40" s="128" t="s">
        <v>94</v>
      </c>
      <c r="K40" s="129">
        <v>30</v>
      </c>
    </row>
    <row r="41" spans="1:15" ht="13.5" customHeight="1" x14ac:dyDescent="0.15">
      <c r="A41" s="4"/>
      <c r="B41" s="138">
        <v>5</v>
      </c>
      <c r="C41" s="139" t="s">
        <v>178</v>
      </c>
      <c r="D41" s="135">
        <v>0.33333333333333331</v>
      </c>
      <c r="E41" s="136">
        <f t="shared" si="10"/>
        <v>0.66666666666666674</v>
      </c>
      <c r="F41" s="143">
        <f>【実地研修費_一般企業】</f>
        <v>3360</v>
      </c>
      <c r="G41" s="643">
        <v>214000</v>
      </c>
      <c r="H41" s="4"/>
      <c r="I41" s="38">
        <v>10</v>
      </c>
      <c r="J41" s="128" t="s">
        <v>95</v>
      </c>
      <c r="K41" s="129">
        <v>31</v>
      </c>
    </row>
    <row r="42" spans="1:15" ht="13.5" customHeight="1" thickBot="1" x14ac:dyDescent="0.2">
      <c r="A42" s="4"/>
      <c r="B42" s="140">
        <v>6</v>
      </c>
      <c r="C42" s="141" t="s">
        <v>161</v>
      </c>
      <c r="D42" s="124">
        <v>0.66666666666666663</v>
      </c>
      <c r="E42" s="125">
        <f t="shared" si="10"/>
        <v>0.33333333333333337</v>
      </c>
      <c r="F42" s="144">
        <f>【実地研修費_中堅・中小企業】</f>
        <v>5190</v>
      </c>
      <c r="G42" s="644">
        <v>167000</v>
      </c>
      <c r="H42" s="4"/>
      <c r="I42" s="38">
        <v>11</v>
      </c>
      <c r="J42" s="128" t="s">
        <v>96</v>
      </c>
      <c r="K42" s="129">
        <v>30</v>
      </c>
    </row>
    <row r="43" spans="1:15" ht="13.5" customHeight="1" thickBot="1" x14ac:dyDescent="0.2">
      <c r="A43" s="4"/>
      <c r="E43" s="4"/>
      <c r="F43" s="4"/>
      <c r="G43" s="4"/>
      <c r="H43" s="4"/>
      <c r="I43" s="78">
        <v>12</v>
      </c>
      <c r="J43" s="130" t="s">
        <v>97</v>
      </c>
      <c r="K43" s="131">
        <v>31</v>
      </c>
    </row>
    <row r="44" spans="1:15" ht="13.5" customHeight="1" x14ac:dyDescent="0.15">
      <c r="A44" s="4"/>
      <c r="E44" s="4"/>
      <c r="F44" s="4"/>
      <c r="G44" s="4"/>
      <c r="H44" s="4"/>
    </row>
    <row r="45" spans="1:15" ht="13.5" customHeight="1" thickBot="1" x14ac:dyDescent="0.2">
      <c r="A45" s="4"/>
      <c r="B45" s="1" t="s">
        <v>68</v>
      </c>
      <c r="H45" s="4"/>
    </row>
    <row r="46" spans="1:15" ht="13.5" customHeight="1" x14ac:dyDescent="0.15">
      <c r="A46" s="4"/>
      <c r="B46" s="789" t="s">
        <v>57</v>
      </c>
      <c r="C46" s="791" t="s">
        <v>62</v>
      </c>
      <c r="D46" s="793" t="s">
        <v>58</v>
      </c>
      <c r="E46" s="793" t="s">
        <v>59</v>
      </c>
      <c r="F46" s="793" t="s">
        <v>60</v>
      </c>
      <c r="G46" s="787" t="s">
        <v>80</v>
      </c>
      <c r="H46" s="787" t="s">
        <v>246</v>
      </c>
    </row>
    <row r="47" spans="1:15" ht="13.5" customHeight="1" thickBot="1" x14ac:dyDescent="0.2">
      <c r="A47" s="4"/>
      <c r="B47" s="790"/>
      <c r="C47" s="792"/>
      <c r="D47" s="794"/>
      <c r="E47" s="794"/>
      <c r="F47" s="794"/>
      <c r="G47" s="788"/>
      <c r="H47" s="788"/>
    </row>
    <row r="48" spans="1:15" ht="13.5" customHeight="1" thickTop="1" x14ac:dyDescent="0.15">
      <c r="A48" s="4"/>
      <c r="B48" s="49">
        <v>1</v>
      </c>
      <c r="C48" s="50" t="str">
        <f>IF(D48="","",TEXT(D48,"yyyy/mm/dd")&amp;"～"&amp;TEXT(E48,"yyyy/mm/dd")&amp;"("&amp;H48&amp;"日・"&amp;F48&amp;")")</f>
        <v>2020/04/15～2020/04/23(9日・KKC)</v>
      </c>
      <c r="D48" s="51">
        <v>43936</v>
      </c>
      <c r="E48" s="52">
        <v>43944</v>
      </c>
      <c r="F48" s="53" t="s">
        <v>128</v>
      </c>
      <c r="G48" s="54">
        <f t="shared" ref="G48:G54" si="11">IF(D48="","",DATEDIF(D48,E48,"D")+2)</f>
        <v>10</v>
      </c>
      <c r="H48" s="54">
        <f>IF(G48="","",G48-1)</f>
        <v>9</v>
      </c>
    </row>
    <row r="49" spans="1:8" ht="13.5" customHeight="1" x14ac:dyDescent="0.15">
      <c r="A49" s="4"/>
      <c r="B49" s="55">
        <v>2</v>
      </c>
      <c r="C49" s="56" t="str">
        <f t="shared" ref="C49:C60" si="12">IF(D49="","",TEXT(D49,"yyyy/mm/dd")&amp;"～"&amp;TEXT(E49,"yyyy/mm/dd")&amp;"("&amp;H49&amp;"日・"&amp;F49&amp;")")</f>
        <v>2020/06/17～2020/06/25(9日・KKC)</v>
      </c>
      <c r="D49" s="57">
        <v>43999</v>
      </c>
      <c r="E49" s="58">
        <v>44007</v>
      </c>
      <c r="F49" s="59" t="s">
        <v>128</v>
      </c>
      <c r="G49" s="60">
        <f t="shared" si="11"/>
        <v>10</v>
      </c>
      <c r="H49" s="60">
        <f t="shared" ref="H49:H60" si="13">IF(G49="","",G49-1)</f>
        <v>9</v>
      </c>
    </row>
    <row r="50" spans="1:8" ht="13.5" customHeight="1" x14ac:dyDescent="0.15">
      <c r="A50" s="4"/>
      <c r="B50" s="55">
        <v>3</v>
      </c>
      <c r="C50" s="56" t="str">
        <f t="shared" si="12"/>
        <v>2020/07/29～2020/08/06(9日・KKC)</v>
      </c>
      <c r="D50" s="57">
        <v>44041</v>
      </c>
      <c r="E50" s="58">
        <v>44049</v>
      </c>
      <c r="F50" s="59" t="s">
        <v>128</v>
      </c>
      <c r="G50" s="60">
        <f t="shared" si="11"/>
        <v>10</v>
      </c>
      <c r="H50" s="60">
        <f t="shared" si="13"/>
        <v>9</v>
      </c>
    </row>
    <row r="51" spans="1:8" ht="13.5" customHeight="1" x14ac:dyDescent="0.15">
      <c r="A51" s="4"/>
      <c r="B51" s="55">
        <v>4</v>
      </c>
      <c r="C51" s="56" t="str">
        <f t="shared" si="12"/>
        <v>2020/08/19～2020/08/27(9日・KKC)</v>
      </c>
      <c r="D51" s="57">
        <v>44062</v>
      </c>
      <c r="E51" s="58">
        <v>44070</v>
      </c>
      <c r="F51" s="59" t="s">
        <v>128</v>
      </c>
      <c r="G51" s="60">
        <f t="shared" si="11"/>
        <v>10</v>
      </c>
      <c r="H51" s="60">
        <f t="shared" si="13"/>
        <v>9</v>
      </c>
    </row>
    <row r="52" spans="1:8" ht="13.5" customHeight="1" x14ac:dyDescent="0.15">
      <c r="A52" s="4"/>
      <c r="B52" s="55">
        <v>5</v>
      </c>
      <c r="C52" s="56" t="str">
        <f t="shared" si="12"/>
        <v>2020/09/23～2020/10/01(9日・KKC)</v>
      </c>
      <c r="D52" s="57">
        <v>44097</v>
      </c>
      <c r="E52" s="58">
        <v>44105</v>
      </c>
      <c r="F52" s="59" t="s">
        <v>128</v>
      </c>
      <c r="G52" s="60">
        <f t="shared" si="11"/>
        <v>10</v>
      </c>
      <c r="H52" s="60">
        <f t="shared" si="13"/>
        <v>9</v>
      </c>
    </row>
    <row r="53" spans="1:8" ht="13.5" customHeight="1" x14ac:dyDescent="0.15">
      <c r="A53" s="4"/>
      <c r="B53" s="61">
        <v>6</v>
      </c>
      <c r="C53" s="62" t="str">
        <f t="shared" si="12"/>
        <v>2020/10/14～2020/10/22(9日・KKC)</v>
      </c>
      <c r="D53" s="63">
        <v>44118</v>
      </c>
      <c r="E53" s="64">
        <v>44126</v>
      </c>
      <c r="F53" s="65" t="s">
        <v>128</v>
      </c>
      <c r="G53" s="66">
        <f t="shared" si="11"/>
        <v>10</v>
      </c>
      <c r="H53" s="66">
        <f t="shared" si="13"/>
        <v>9</v>
      </c>
    </row>
    <row r="54" spans="1:8" ht="13.5" customHeight="1" x14ac:dyDescent="0.15">
      <c r="A54" s="4"/>
      <c r="B54" s="55">
        <v>7</v>
      </c>
      <c r="C54" s="56" t="str">
        <f t="shared" si="12"/>
        <v>2020/11/25～2020/12/03(9日・TKC)</v>
      </c>
      <c r="D54" s="57">
        <v>44160</v>
      </c>
      <c r="E54" s="58">
        <v>44168</v>
      </c>
      <c r="F54" s="59" t="s">
        <v>136</v>
      </c>
      <c r="G54" s="60">
        <f t="shared" si="11"/>
        <v>10</v>
      </c>
      <c r="H54" s="60">
        <f t="shared" si="13"/>
        <v>9</v>
      </c>
    </row>
    <row r="55" spans="1:8" ht="13.5" customHeight="1" x14ac:dyDescent="0.15">
      <c r="A55" s="4"/>
      <c r="B55" s="61">
        <v>8</v>
      </c>
      <c r="C55" s="65" t="str">
        <f t="shared" si="12"/>
        <v>2021/01/13～2021/01/21(9日・KKC)</v>
      </c>
      <c r="D55" s="64">
        <v>44209</v>
      </c>
      <c r="E55" s="64">
        <v>44217</v>
      </c>
      <c r="F55" s="65" t="s">
        <v>128</v>
      </c>
      <c r="G55" s="66">
        <f t="shared" ref="G55:G58" si="14">IF(D55="","",DATEDIF(D55,E55,"D")+2)</f>
        <v>10</v>
      </c>
      <c r="H55" s="66">
        <f t="shared" si="13"/>
        <v>9</v>
      </c>
    </row>
    <row r="56" spans="1:8" ht="13.5" customHeight="1" x14ac:dyDescent="0.15">
      <c r="A56" s="4"/>
      <c r="B56" s="55">
        <v>9</v>
      </c>
      <c r="C56" s="65" t="str">
        <f t="shared" si="12"/>
        <v/>
      </c>
      <c r="D56" s="64"/>
      <c r="E56" s="64"/>
      <c r="F56" s="65"/>
      <c r="G56" s="66" t="str">
        <f t="shared" si="14"/>
        <v/>
      </c>
      <c r="H56" s="66" t="str">
        <f t="shared" si="13"/>
        <v/>
      </c>
    </row>
    <row r="57" spans="1:8" ht="13.5" customHeight="1" x14ac:dyDescent="0.15">
      <c r="A57" s="4"/>
      <c r="B57" s="61">
        <v>10</v>
      </c>
      <c r="C57" s="65" t="str">
        <f t="shared" si="12"/>
        <v/>
      </c>
      <c r="D57" s="64"/>
      <c r="E57" s="64"/>
      <c r="F57" s="65"/>
      <c r="G57" s="66" t="str">
        <f t="shared" si="14"/>
        <v/>
      </c>
      <c r="H57" s="66" t="str">
        <f t="shared" si="13"/>
        <v/>
      </c>
    </row>
    <row r="58" spans="1:8" ht="13.5" customHeight="1" x14ac:dyDescent="0.15">
      <c r="A58" s="4"/>
      <c r="B58" s="61">
        <v>11</v>
      </c>
      <c r="C58" s="65" t="str">
        <f t="shared" si="12"/>
        <v/>
      </c>
      <c r="D58" s="64"/>
      <c r="E58" s="64"/>
      <c r="F58" s="65"/>
      <c r="G58" s="66" t="str">
        <f t="shared" si="14"/>
        <v/>
      </c>
      <c r="H58" s="66" t="str">
        <f t="shared" si="13"/>
        <v/>
      </c>
    </row>
    <row r="59" spans="1:8" ht="13.5" customHeight="1" x14ac:dyDescent="0.15">
      <c r="A59" s="4"/>
      <c r="B59" s="61">
        <v>12</v>
      </c>
      <c r="C59" s="65" t="str">
        <f t="shared" si="12"/>
        <v/>
      </c>
      <c r="D59" s="64"/>
      <c r="E59" s="64"/>
      <c r="F59" s="65"/>
      <c r="G59" s="66" t="str">
        <f t="shared" ref="G59:G60" si="15">IF(D59="","",DATEDIF(D59,E59,"D")+2)</f>
        <v/>
      </c>
      <c r="H59" s="66" t="str">
        <f t="shared" si="13"/>
        <v/>
      </c>
    </row>
    <row r="60" spans="1:8" ht="13.5" customHeight="1" thickBot="1" x14ac:dyDescent="0.2">
      <c r="A60" s="4"/>
      <c r="B60" s="67">
        <v>13</v>
      </c>
      <c r="C60" s="69" t="str">
        <f t="shared" si="12"/>
        <v/>
      </c>
      <c r="D60" s="68"/>
      <c r="E60" s="68"/>
      <c r="F60" s="69"/>
      <c r="G60" s="70" t="str">
        <f t="shared" si="15"/>
        <v/>
      </c>
      <c r="H60" s="70" t="str">
        <f t="shared" si="13"/>
        <v/>
      </c>
    </row>
    <row r="61" spans="1:8" ht="13.5" customHeight="1" x14ac:dyDescent="0.15">
      <c r="A61" s="4"/>
      <c r="H61" s="4"/>
    </row>
    <row r="62" spans="1:8" ht="13.5" customHeight="1" x14ac:dyDescent="0.15">
      <c r="A62" s="4"/>
      <c r="H62" s="4"/>
    </row>
    <row r="63" spans="1:8" ht="13.5" customHeight="1" x14ac:dyDescent="0.15">
      <c r="A63" s="4"/>
      <c r="H63" s="4"/>
    </row>
    <row r="64" spans="1:8" ht="13.5" customHeight="1" x14ac:dyDescent="0.15">
      <c r="A64" s="4"/>
      <c r="D64" s="4"/>
      <c r="E64" s="4"/>
      <c r="F64" s="4"/>
      <c r="H64" s="4"/>
    </row>
    <row r="65" spans="1:10" ht="13.5" customHeight="1" x14ac:dyDescent="0.15">
      <c r="A65" s="4"/>
      <c r="D65" s="4"/>
      <c r="E65" s="4"/>
      <c r="F65" s="4"/>
      <c r="H65" s="4"/>
    </row>
    <row r="66" spans="1:10" ht="13.5" customHeight="1" x14ac:dyDescent="0.15">
      <c r="A66" s="4"/>
      <c r="D66" s="4"/>
      <c r="E66" s="4"/>
      <c r="F66" s="4"/>
      <c r="H66" s="4"/>
    </row>
    <row r="67" spans="1:10" ht="13.5" customHeight="1" x14ac:dyDescent="0.15">
      <c r="A67" s="4"/>
      <c r="D67" s="4"/>
      <c r="E67" s="4"/>
      <c r="F67" s="4"/>
      <c r="H67" s="4"/>
    </row>
    <row r="68" spans="1:10" ht="13.5" customHeight="1" x14ac:dyDescent="0.15">
      <c r="A68" s="4"/>
      <c r="D68" s="4"/>
      <c r="E68" s="4"/>
      <c r="F68" s="4"/>
      <c r="H68" s="4"/>
    </row>
    <row r="69" spans="1:10" ht="13.5" customHeight="1" x14ac:dyDescent="0.15">
      <c r="A69" s="4"/>
      <c r="D69" s="4"/>
      <c r="E69" s="4"/>
      <c r="F69" s="4"/>
      <c r="H69" s="4"/>
    </row>
    <row r="70" spans="1:10" ht="13.5" customHeight="1" x14ac:dyDescent="0.15">
      <c r="A70" s="4"/>
      <c r="D70" s="4"/>
      <c r="E70" s="4"/>
      <c r="F70" s="4"/>
      <c r="H70" s="4"/>
    </row>
    <row r="71" spans="1:10" ht="13.5" customHeight="1" x14ac:dyDescent="0.15">
      <c r="A71" s="4"/>
      <c r="D71" s="4"/>
      <c r="E71" s="4"/>
      <c r="F71" s="4"/>
      <c r="H71" s="4"/>
    </row>
    <row r="72" spans="1:10" ht="13.5" customHeight="1" x14ac:dyDescent="0.15">
      <c r="A72" s="4"/>
      <c r="D72" s="4"/>
      <c r="E72" s="4"/>
      <c r="F72" s="4"/>
      <c r="H72" s="4"/>
    </row>
    <row r="73" spans="1:10" ht="13.5" customHeight="1" x14ac:dyDescent="0.15">
      <c r="A73" s="4"/>
      <c r="H73" s="4"/>
    </row>
    <row r="74" spans="1:10" ht="13.5" customHeight="1" x14ac:dyDescent="0.15">
      <c r="A74" s="4"/>
      <c r="B74" s="4"/>
      <c r="C74" s="4"/>
      <c r="D74" s="4"/>
      <c r="E74" s="4"/>
      <c r="F74" s="4"/>
      <c r="G74" s="4"/>
      <c r="H74" s="4"/>
    </row>
    <row r="75" spans="1:10" ht="13.5" customHeight="1" x14ac:dyDescent="0.15">
      <c r="A75" s="4"/>
      <c r="B75" s="4"/>
      <c r="C75" s="4"/>
      <c r="D75" s="4"/>
      <c r="E75" s="4"/>
      <c r="F75" s="4"/>
      <c r="G75" s="4"/>
      <c r="H75" s="4"/>
    </row>
    <row r="76" spans="1:10" ht="13.5" customHeight="1" x14ac:dyDescent="0.15">
      <c r="A76" s="4"/>
      <c r="B76" s="4"/>
      <c r="C76" s="4"/>
      <c r="D76" s="4"/>
      <c r="E76" s="4"/>
      <c r="F76" s="4"/>
      <c r="G76" s="4"/>
      <c r="H76" s="4"/>
    </row>
    <row r="77" spans="1:10" ht="13.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3.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3.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3.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3.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3.5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3.5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3.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3.5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3.5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3.5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3.5" customHeight="1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3.5" customHeight="1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3.5" customHeight="1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3.5" customHeight="1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3.5" customHeight="1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3.5" customHeight="1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3.5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3.5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3.5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3.5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3.5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3.5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3.5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3.5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3.5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3.5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3.5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3.5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3.5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3.5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</row>
    <row r="108" spans="1:10" ht="13.5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</row>
    <row r="109" spans="1:10" ht="13.5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3.5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3.5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3.5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3.5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3.5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3.5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3.5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3.5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3.5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3.5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3.5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3.5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3.5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3.5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3.5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3.5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3.5" customHeight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3.5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3.5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3.5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3.5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3.5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3.5" customHeight="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3.5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3.5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3.5" customHeight="1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3.5" customHeight="1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3.5" customHeight="1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3.5" customHeight="1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3.5" customHeight="1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3.5" customHeight="1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3.5" customHeight="1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3.5" customHeight="1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3.5" customHeight="1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3.5" customHeight="1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3.5" customHeight="1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3.5" customHeight="1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3.5" customHeight="1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3.5" customHeight="1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3.5" customHeight="1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3.5" customHeight="1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3.5" customHeight="1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3.5" customHeight="1" x14ac:dyDescent="0.15">
      <c r="A153" s="4"/>
      <c r="B153" s="4"/>
      <c r="C153" s="4"/>
      <c r="D153" s="4"/>
      <c r="E153" s="4"/>
      <c r="F153" s="4"/>
      <c r="G153" s="4"/>
      <c r="H153" s="4"/>
      <c r="I153" s="4"/>
    </row>
    <row r="154" spans="1:10" ht="13.5" customHeight="1" x14ac:dyDescent="0.15">
      <c r="A154" s="4"/>
      <c r="B154" s="4"/>
      <c r="C154" s="4"/>
      <c r="D154" s="4"/>
      <c r="E154" s="4"/>
      <c r="F154" s="4"/>
      <c r="G154" s="4"/>
      <c r="H154" s="4"/>
      <c r="I154" s="4"/>
    </row>
    <row r="155" spans="1:10" ht="13.5" customHeight="1" x14ac:dyDescent="0.15">
      <c r="A155" s="4"/>
      <c r="B155" s="4"/>
      <c r="C155" s="4"/>
      <c r="D155" s="4"/>
      <c r="E155" s="4"/>
      <c r="F155" s="4"/>
      <c r="G155" s="4"/>
      <c r="H155" s="4"/>
      <c r="I155" s="4"/>
    </row>
    <row r="156" spans="1:10" ht="13.5" customHeight="1" x14ac:dyDescent="0.15">
      <c r="A156" s="4"/>
      <c r="B156" s="4"/>
      <c r="C156" s="4"/>
      <c r="D156" s="4"/>
      <c r="E156" s="4"/>
      <c r="F156" s="4"/>
      <c r="G156" s="4"/>
      <c r="H156" s="4"/>
      <c r="I156" s="4"/>
    </row>
    <row r="157" spans="1:10" ht="13.5" customHeight="1" x14ac:dyDescent="0.15">
      <c r="A157" s="4"/>
      <c r="B157" s="4"/>
      <c r="C157" s="4"/>
      <c r="D157" s="4"/>
      <c r="E157" s="4"/>
      <c r="F157" s="4"/>
      <c r="G157" s="4"/>
      <c r="H157" s="4"/>
      <c r="I157" s="4"/>
    </row>
    <row r="158" spans="1:10" ht="13.5" customHeight="1" x14ac:dyDescent="0.15">
      <c r="A158" s="4"/>
      <c r="B158" s="4"/>
      <c r="C158" s="4"/>
      <c r="D158" s="4"/>
      <c r="E158" s="4"/>
      <c r="F158" s="4"/>
      <c r="G158" s="4"/>
      <c r="H158" s="4"/>
      <c r="I158" s="4"/>
    </row>
    <row r="159" spans="1:10" ht="13.5" customHeight="1" x14ac:dyDescent="0.15">
      <c r="A159" s="4"/>
      <c r="B159" s="4"/>
      <c r="C159" s="4"/>
      <c r="D159" s="4"/>
      <c r="E159" s="4"/>
      <c r="F159" s="4"/>
      <c r="G159" s="4"/>
      <c r="H159" s="4"/>
      <c r="I159" s="4"/>
    </row>
    <row r="160" spans="1:10" ht="13.5" customHeight="1" x14ac:dyDescent="0.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3.5" customHeight="1" x14ac:dyDescent="0.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3.5" customHeight="1" x14ac:dyDescent="0.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3.5" customHeight="1" x14ac:dyDescent="0.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3.5" customHeight="1" x14ac:dyDescent="0.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3.5" customHeight="1" x14ac:dyDescent="0.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3.5" customHeight="1" x14ac:dyDescent="0.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3.5" customHeight="1" x14ac:dyDescent="0.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3.5" customHeight="1" x14ac:dyDescent="0.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3.5" customHeight="1" x14ac:dyDescent="0.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3.5" customHeight="1" x14ac:dyDescent="0.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3.5" customHeight="1" x14ac:dyDescent="0.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3.5" customHeight="1" x14ac:dyDescent="0.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3.5" customHeight="1" x14ac:dyDescent="0.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3.5" customHeight="1" x14ac:dyDescent="0.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3.5" customHeight="1" x14ac:dyDescent="0.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3.5" customHeight="1" x14ac:dyDescent="0.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3.5" customHeight="1" x14ac:dyDescent="0.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3.5" customHeight="1" x14ac:dyDescent="0.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3.5" customHeight="1" x14ac:dyDescent="0.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3.5" customHeight="1" x14ac:dyDescent="0.15">
      <c r="A180" s="4"/>
      <c r="B180" s="4"/>
      <c r="C180" s="4"/>
      <c r="D180" s="4"/>
      <c r="E180" s="4"/>
      <c r="F180" s="4"/>
      <c r="G180" s="4"/>
      <c r="H180" s="36"/>
      <c r="I180" s="4"/>
    </row>
    <row r="181" spans="1:9" ht="13.5" customHeight="1" x14ac:dyDescent="0.15">
      <c r="A181" s="4"/>
      <c r="B181" s="37"/>
      <c r="C181" s="36"/>
      <c r="D181" s="36"/>
      <c r="E181" s="36"/>
      <c r="F181" s="36"/>
      <c r="G181" s="36"/>
      <c r="H181" s="36"/>
      <c r="I181" s="4"/>
    </row>
    <row r="182" spans="1:9" ht="13.5" customHeight="1" x14ac:dyDescent="0.15">
      <c r="A182" s="4"/>
      <c r="B182" s="37"/>
      <c r="C182" s="36"/>
      <c r="D182" s="36"/>
      <c r="E182" s="36"/>
      <c r="F182" s="36"/>
      <c r="G182" s="36"/>
      <c r="H182" s="36"/>
      <c r="I182"/>
    </row>
    <row r="183" spans="1:9" ht="13.5" customHeight="1" x14ac:dyDescent="0.15">
      <c r="B183" s="37"/>
      <c r="C183" s="36"/>
      <c r="D183" s="36"/>
      <c r="E183" s="36"/>
      <c r="F183" s="36"/>
      <c r="G183" s="36"/>
      <c r="H183" s="36"/>
      <c r="I183"/>
    </row>
    <row r="184" spans="1:9" ht="13.5" customHeight="1" x14ac:dyDescent="0.15">
      <c r="B184" s="37"/>
      <c r="C184" s="36"/>
      <c r="D184" s="36"/>
      <c r="E184" s="36"/>
      <c r="F184" s="36"/>
      <c r="G184" s="36"/>
      <c r="H184" s="36"/>
      <c r="I184"/>
    </row>
    <row r="185" spans="1:9" ht="13.5" customHeight="1" x14ac:dyDescent="0.15">
      <c r="B185" s="37"/>
      <c r="C185" s="36"/>
      <c r="D185" s="36"/>
      <c r="E185" s="36"/>
      <c r="F185" s="36"/>
      <c r="G185" s="36"/>
      <c r="H185" s="36"/>
      <c r="I185"/>
    </row>
    <row r="186" spans="1:9" ht="13.5" customHeight="1" x14ac:dyDescent="0.15">
      <c r="B186" s="37"/>
      <c r="C186" s="36"/>
      <c r="D186" s="36"/>
      <c r="E186" s="36"/>
      <c r="F186" s="36"/>
      <c r="G186" s="36"/>
      <c r="H186" s="36"/>
      <c r="I186"/>
    </row>
    <row r="187" spans="1:9" ht="13.5" customHeight="1" x14ac:dyDescent="0.15">
      <c r="B187" s="37"/>
      <c r="C187" s="36"/>
      <c r="D187" s="36"/>
      <c r="E187" s="36"/>
      <c r="F187" s="36"/>
      <c r="G187" s="36"/>
      <c r="H187" s="36"/>
      <c r="I187"/>
    </row>
    <row r="188" spans="1:9" ht="13.5" customHeight="1" x14ac:dyDescent="0.15">
      <c r="B188" s="37"/>
      <c r="C188" s="36"/>
      <c r="D188" s="36"/>
      <c r="E188" s="36"/>
      <c r="F188" s="36"/>
      <c r="G188" s="36"/>
      <c r="H188" s="35"/>
      <c r="I188"/>
    </row>
    <row r="189" spans="1:9" ht="13.5" customHeight="1" x14ac:dyDescent="0.15">
      <c r="B189" s="35"/>
      <c r="C189" s="35"/>
      <c r="D189" s="35"/>
      <c r="E189" s="35"/>
      <c r="F189" s="35"/>
      <c r="G189" s="35"/>
      <c r="H189" s="35"/>
    </row>
    <row r="190" spans="1:9" ht="13.5" customHeight="1" x14ac:dyDescent="0.15">
      <c r="B190" s="35"/>
      <c r="C190" s="35"/>
      <c r="D190" s="35"/>
      <c r="E190" s="35"/>
      <c r="F190" s="35"/>
      <c r="G190" s="35"/>
      <c r="H190" s="35"/>
    </row>
    <row r="191" spans="1:9" ht="13.5" customHeight="1" x14ac:dyDescent="0.15">
      <c r="B191" s="35"/>
      <c r="C191" s="35"/>
      <c r="D191" s="35"/>
      <c r="E191" s="35"/>
      <c r="F191" s="35"/>
      <c r="G191" s="35"/>
      <c r="H191" s="35"/>
    </row>
    <row r="192" spans="1:9" ht="13.5" customHeight="1" x14ac:dyDescent="0.15">
      <c r="B192" s="35"/>
      <c r="C192" s="35"/>
      <c r="D192" s="35"/>
      <c r="E192" s="35"/>
      <c r="F192" s="35"/>
      <c r="G192" s="35"/>
      <c r="H192" s="35"/>
    </row>
    <row r="193" spans="2:8" ht="13.5" customHeight="1" x14ac:dyDescent="0.15">
      <c r="B193" s="35"/>
      <c r="C193" s="35"/>
      <c r="D193" s="35"/>
      <c r="E193" s="35"/>
      <c r="F193" s="35"/>
      <c r="G193" s="35"/>
      <c r="H193" s="35"/>
    </row>
    <row r="194" spans="2:8" ht="13.5" customHeight="1" x14ac:dyDescent="0.15">
      <c r="B194" s="35"/>
      <c r="C194" s="35"/>
      <c r="D194" s="35"/>
      <c r="E194" s="35"/>
      <c r="F194" s="35"/>
      <c r="G194" s="35"/>
      <c r="H194" s="35"/>
    </row>
    <row r="195" spans="2:8" ht="13.5" customHeight="1" x14ac:dyDescent="0.15">
      <c r="B195" s="35"/>
      <c r="C195" s="35"/>
      <c r="D195" s="35"/>
      <c r="E195" s="35"/>
      <c r="F195" s="35"/>
      <c r="G195" s="35"/>
      <c r="H195" s="35"/>
    </row>
    <row r="196" spans="2:8" ht="13.5" customHeight="1" x14ac:dyDescent="0.15">
      <c r="B196" s="35"/>
      <c r="C196" s="35"/>
      <c r="D196" s="35"/>
      <c r="E196" s="35"/>
      <c r="F196" s="35"/>
      <c r="G196" s="35"/>
      <c r="H196" s="35"/>
    </row>
    <row r="197" spans="2:8" ht="13.5" customHeight="1" x14ac:dyDescent="0.15">
      <c r="B197" s="35"/>
      <c r="C197" s="35"/>
      <c r="D197" s="35"/>
      <c r="E197" s="35"/>
      <c r="F197" s="35"/>
      <c r="G197" s="35"/>
      <c r="H197" s="35"/>
    </row>
    <row r="198" spans="2:8" ht="13.5" customHeight="1" x14ac:dyDescent="0.15">
      <c r="B198" s="35"/>
      <c r="C198" s="35"/>
      <c r="D198" s="35"/>
      <c r="E198" s="35"/>
      <c r="F198" s="35"/>
      <c r="G198" s="35"/>
      <c r="H198" s="35"/>
    </row>
    <row r="199" spans="2:8" ht="13.5" customHeight="1" x14ac:dyDescent="0.15">
      <c r="B199" s="35"/>
      <c r="C199" s="35"/>
      <c r="D199" s="35"/>
      <c r="E199" s="35"/>
      <c r="F199" s="35"/>
      <c r="G199" s="35"/>
      <c r="H199" s="35"/>
    </row>
    <row r="200" spans="2:8" ht="13.5" customHeight="1" x14ac:dyDescent="0.15">
      <c r="B200" s="35"/>
      <c r="C200" s="35"/>
      <c r="D200" s="35"/>
      <c r="E200" s="35"/>
      <c r="F200" s="35"/>
      <c r="G200" s="35"/>
      <c r="H200" s="35"/>
    </row>
    <row r="201" spans="2:8" ht="13.5" customHeight="1" x14ac:dyDescent="0.15">
      <c r="B201" s="35"/>
      <c r="C201" s="35"/>
      <c r="D201" s="35"/>
      <c r="E201" s="35"/>
      <c r="F201" s="35"/>
      <c r="G201" s="35"/>
      <c r="H201" s="35"/>
    </row>
    <row r="202" spans="2:8" ht="13.5" customHeight="1" x14ac:dyDescent="0.15">
      <c r="B202" s="35"/>
      <c r="C202" s="35"/>
      <c r="D202" s="35"/>
      <c r="E202" s="35"/>
      <c r="F202" s="35"/>
      <c r="G202" s="35"/>
      <c r="H202" s="35"/>
    </row>
    <row r="203" spans="2:8" ht="13.5" customHeight="1" x14ac:dyDescent="0.15">
      <c r="B203" s="35"/>
      <c r="C203" s="35"/>
      <c r="D203" s="35"/>
      <c r="E203" s="35"/>
      <c r="F203" s="35"/>
      <c r="G203" s="35"/>
      <c r="H203" s="35"/>
    </row>
    <row r="204" spans="2:8" ht="13.5" customHeight="1" x14ac:dyDescent="0.15">
      <c r="B204" s="35"/>
      <c r="C204" s="35"/>
      <c r="D204" s="35"/>
      <c r="E204" s="35"/>
      <c r="F204" s="35"/>
      <c r="G204" s="35"/>
      <c r="H204" s="35"/>
    </row>
    <row r="205" spans="2:8" ht="13.5" customHeight="1" x14ac:dyDescent="0.15">
      <c r="B205" s="35"/>
      <c r="C205" s="35"/>
      <c r="D205" s="35"/>
      <c r="E205" s="35"/>
      <c r="F205" s="35"/>
      <c r="G205" s="35"/>
      <c r="H205" s="35"/>
    </row>
    <row r="206" spans="2:8" ht="13.5" customHeight="1" x14ac:dyDescent="0.15">
      <c r="B206" s="35"/>
      <c r="C206" s="35"/>
      <c r="D206" s="35"/>
      <c r="E206" s="35"/>
      <c r="F206" s="35"/>
      <c r="G206" s="35"/>
      <c r="H206" s="35"/>
    </row>
    <row r="207" spans="2:8" ht="13.5" customHeight="1" x14ac:dyDescent="0.15">
      <c r="B207" s="35"/>
      <c r="C207" s="35"/>
      <c r="D207" s="35"/>
      <c r="E207" s="35"/>
      <c r="F207" s="35"/>
      <c r="G207" s="35"/>
    </row>
  </sheetData>
  <mergeCells count="25">
    <mergeCell ref="S12:S14"/>
    <mergeCell ref="T12:T14"/>
    <mergeCell ref="U12:U14"/>
    <mergeCell ref="D4:E4"/>
    <mergeCell ref="L4:M4"/>
    <mergeCell ref="P4:Q4"/>
    <mergeCell ref="I8:J8"/>
    <mergeCell ref="O4:O5"/>
    <mergeCell ref="N12:N14"/>
    <mergeCell ref="O12:O14"/>
    <mergeCell ref="P12:P14"/>
    <mergeCell ref="Q12:Q14"/>
    <mergeCell ref="R12:R14"/>
    <mergeCell ref="I12:I14"/>
    <mergeCell ref="J12:J14"/>
    <mergeCell ref="K12:K14"/>
    <mergeCell ref="L12:L14"/>
    <mergeCell ref="M12:M14"/>
    <mergeCell ref="G46:G47"/>
    <mergeCell ref="B46:B47"/>
    <mergeCell ref="C46:C47"/>
    <mergeCell ref="D46:D47"/>
    <mergeCell ref="E46:E47"/>
    <mergeCell ref="F46:F47"/>
    <mergeCell ref="H46:H47"/>
  </mergeCells>
  <phoneticPr fontId="2"/>
  <dataValidations count="1">
    <dataValidation imeMode="off" allowBlank="1" showInputMessage="1" showErrorMessage="1" sqref="D48:E60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21</vt:i4>
      </vt:variant>
    </vt:vector>
  </HeadingPairs>
  <TitlesOfParts>
    <vt:vector size="24" baseType="lpstr">
      <vt:lpstr>9D,A9D費用試算</vt:lpstr>
      <vt:lpstr>9D,A9D月別受入費明細</vt:lpstr>
      <vt:lpstr>9D,A9D計算シート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【実地研修費_一般企業】</vt:lpstr>
      <vt:lpstr>【実地研修費_中堅・中小企業】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'9D,A9D月別受入費明細'!Print_Area</vt:lpstr>
      <vt:lpstr>'9D,A9D費用試算'!Print_Area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2020-07-07T00:22:01Z</dcterms:created>
  <dcterms:modified xsi:type="dcterms:W3CDTF">2020-07-07T00:22:37Z</dcterms:modified>
</cp:coreProperties>
</file>