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-15" windowWidth="9720" windowHeight="12120"/>
  </bookViews>
  <sheets>
    <sheet name="コース不参加費用試算" sheetId="2" r:id="rId1"/>
    <sheet name="コース不参加月別受入費明細" sheetId="8" r:id="rId2"/>
    <sheet name="計算シート" sheetId="7" state="hidden" r:id="rId3"/>
  </sheets>
  <definedNames>
    <definedName name="【月別標準日数】">計算シート!$I$32:$K$43</definedName>
    <definedName name="【研修申込区分】">計算シート!$B$35</definedName>
    <definedName name="【研修申込区分別費用】">計算シート!$B$37:$G$42</definedName>
    <definedName name="【研修日数】">計算シート!$L$15:$U$27</definedName>
    <definedName name="【研修旅行】">計算シート!$J$48:$K$49</definedName>
    <definedName name="【国内移動費】">計算シート!$I$5:$K$7</definedName>
    <definedName name="【雑費】">計算シート!$D$20</definedName>
    <definedName name="【実地研修中の宿泊】">計算シート!$B$26</definedName>
    <definedName name="【実地研修費_一般企業】">計算シート!$D$21</definedName>
    <definedName name="【実地研修費_中堅・中小企業】">計算シート!$D$22</definedName>
    <definedName name="【宿舎費_会社施設】">計算シート!$D$29</definedName>
    <definedName name="【宿舎費_外部宿舎】">計算シート!$D$30</definedName>
    <definedName name="【宿舎費_研修センター】">計算シート!$D$28</definedName>
    <definedName name="【宿舎費_研修旅行中】">計算シート!$D$31</definedName>
    <definedName name="【食費_昼食】">計算シート!$D$18</definedName>
    <definedName name="【食費_朝食】">計算シート!$D$17</definedName>
    <definedName name="【食費_夕食】">計算シート!$D$19</definedName>
    <definedName name="【日程表】">計算シート!$B$48:$G$58</definedName>
    <definedName name="【日程表項番】">計算シート!$D$7</definedName>
    <definedName name="_xlnm.Print_Area" localSheetId="1">コース不参加月別受入費明細!$A$1:$AF$49</definedName>
  </definedNames>
  <calcPr calcId="152511"/>
</workbook>
</file>

<file path=xl/calcChain.xml><?xml version="1.0" encoding="utf-8"?>
<calcChain xmlns="http://schemas.openxmlformats.org/spreadsheetml/2006/main">
  <c r="L26" i="2" l="1"/>
  <c r="J45" i="2" l="1"/>
  <c r="E42" i="8" l="1"/>
  <c r="AF42" i="8" s="1"/>
  <c r="F39" i="7" l="1"/>
  <c r="O3" i="2" l="1"/>
  <c r="J33" i="2" l="1"/>
  <c r="I44" i="8" s="1"/>
  <c r="B44" i="8" l="1"/>
  <c r="L33" i="2"/>
  <c r="G33" i="2"/>
  <c r="F11" i="2"/>
  <c r="K34" i="2" s="1"/>
  <c r="F9" i="2"/>
  <c r="E44" i="8" l="1"/>
  <c r="E21" i="8"/>
  <c r="G21" i="8"/>
  <c r="C14" i="7" l="1"/>
  <c r="C12" i="7"/>
  <c r="H4" i="8"/>
  <c r="C5" i="7"/>
  <c r="C13" i="7" l="1"/>
  <c r="K32" i="2"/>
  <c r="K35" i="2"/>
  <c r="K36" i="2"/>
  <c r="F1" i="8"/>
  <c r="F3" i="8"/>
  <c r="AA50" i="2"/>
  <c r="S41" i="2"/>
  <c r="D17" i="8" l="1"/>
  <c r="E16" i="8"/>
  <c r="L45" i="2"/>
  <c r="S35" i="2"/>
  <c r="J35" i="2"/>
  <c r="J34" i="2"/>
  <c r="G34" i="2"/>
  <c r="G42" i="8"/>
  <c r="N25" i="2"/>
  <c r="M26" i="2" s="1"/>
  <c r="O17" i="2"/>
  <c r="O11" i="2"/>
  <c r="J32" i="2" s="1"/>
  <c r="L11" i="2"/>
  <c r="Y6" i="2"/>
  <c r="M33" i="2" l="1"/>
  <c r="B45" i="8"/>
  <c r="AB40" i="2"/>
  <c r="X41" i="2"/>
  <c r="J57" i="2"/>
  <c r="E19" i="8"/>
  <c r="S42" i="2"/>
  <c r="AA51" i="2" s="1"/>
  <c r="E28" i="8"/>
  <c r="G28" i="8" s="1"/>
  <c r="AF28" i="8" s="1"/>
  <c r="AF13" i="8"/>
  <c r="G19" i="8"/>
  <c r="L35" i="2"/>
  <c r="W37" i="2"/>
  <c r="AB37" i="2" s="1"/>
  <c r="M35" i="2"/>
  <c r="Y14" i="2"/>
  <c r="W34" i="2"/>
  <c r="AB34" i="2" s="1"/>
  <c r="L37" i="2"/>
  <c r="W40" i="2"/>
  <c r="K5" i="7"/>
  <c r="E26" i="8" l="1"/>
  <c r="E46" i="8"/>
  <c r="E23" i="8"/>
  <c r="E13" i="8"/>
  <c r="M37" i="2"/>
  <c r="Y7" i="2"/>
  <c r="Y8" i="2" s="1"/>
  <c r="E42" i="7" l="1"/>
  <c r="D27" i="8" s="1"/>
  <c r="E41" i="7"/>
  <c r="E40" i="7"/>
  <c r="E39" i="7"/>
  <c r="E38" i="7"/>
  <c r="E37" i="7"/>
  <c r="F41" i="7"/>
  <c r="F42" i="7"/>
  <c r="F37" i="7"/>
  <c r="F38" i="7"/>
  <c r="F40" i="7"/>
  <c r="S39" i="2" l="1"/>
  <c r="AA48" i="2" s="1"/>
  <c r="P25" i="2"/>
  <c r="O26" i="2" s="1"/>
  <c r="J36" i="2"/>
  <c r="O33" i="2" l="1"/>
  <c r="O35" i="2"/>
  <c r="G40" i="8" l="1"/>
  <c r="C6" i="7" l="1"/>
  <c r="K6" i="7"/>
  <c r="I48" i="7" l="1"/>
  <c r="D11" i="7"/>
  <c r="F46" i="8"/>
  <c r="G46" i="8" s="1"/>
  <c r="G47" i="8" s="1"/>
  <c r="B46" i="8"/>
  <c r="J15" i="7"/>
  <c r="K15" i="7"/>
  <c r="E5" i="7"/>
  <c r="I49" i="7" l="1"/>
  <c r="K48" i="7"/>
  <c r="B24" i="8"/>
  <c r="I40" i="8"/>
  <c r="L36" i="2"/>
  <c r="H40" i="8"/>
  <c r="K8" i="7"/>
  <c r="M15" i="7"/>
  <c r="J16" i="7"/>
  <c r="K16" i="7"/>
  <c r="N15" i="7"/>
  <c r="O15" i="7" s="1"/>
  <c r="P15" i="7" s="1"/>
  <c r="L15" i="7"/>
  <c r="K49" i="7" l="1"/>
  <c r="J49" i="7"/>
  <c r="L32" i="2"/>
  <c r="K57" i="2"/>
  <c r="L57" i="2" s="1"/>
  <c r="L34" i="2"/>
  <c r="E24" i="8"/>
  <c r="W38" i="2"/>
  <c r="AB38" i="2" s="1"/>
  <c r="O36" i="2"/>
  <c r="M36" i="2"/>
  <c r="Y17" i="2"/>
  <c r="E14" i="7"/>
  <c r="J5" i="7"/>
  <c r="I5" i="7" s="1"/>
  <c r="Q15" i="7"/>
  <c r="R15" i="7"/>
  <c r="S15" i="7" s="1"/>
  <c r="M16" i="7"/>
  <c r="J17" i="7"/>
  <c r="K17" i="7"/>
  <c r="J48" i="7" s="1"/>
  <c r="N16" i="7"/>
  <c r="O16" i="7" s="1"/>
  <c r="P16" i="7" s="1"/>
  <c r="L16" i="7"/>
  <c r="W36" i="2" l="1"/>
  <c r="AB36" i="2" s="1"/>
  <c r="E45" i="8"/>
  <c r="Y13" i="2"/>
  <c r="L38" i="2"/>
  <c r="Y10" i="2"/>
  <c r="Y11" i="2" s="1"/>
  <c r="E43" i="8"/>
  <c r="Y18" i="2"/>
  <c r="Y19" i="2" s="1"/>
  <c r="W35" i="2"/>
  <c r="AB35" i="2" s="1"/>
  <c r="F10" i="8"/>
  <c r="O34" i="2"/>
  <c r="M34" i="2"/>
  <c r="Y15" i="2"/>
  <c r="E47" i="8"/>
  <c r="E22" i="8"/>
  <c r="E17" i="8"/>
  <c r="E20" i="8" s="1"/>
  <c r="E25" i="8" s="1"/>
  <c r="O32" i="2"/>
  <c r="O38" i="2" s="1"/>
  <c r="M32" i="2"/>
  <c r="M38" i="2" s="1"/>
  <c r="Q16" i="7"/>
  <c r="R16" i="7"/>
  <c r="M17" i="7"/>
  <c r="J18" i="7"/>
  <c r="K18" i="7"/>
  <c r="N17" i="7"/>
  <c r="O17" i="7" s="1"/>
  <c r="P17" i="7" s="1"/>
  <c r="L17" i="7"/>
  <c r="S16" i="7"/>
  <c r="F8" i="8"/>
  <c r="U15" i="7"/>
  <c r="H45" i="8" s="1"/>
  <c r="I45" i="8" s="1"/>
  <c r="AB39" i="2" l="1"/>
  <c r="F9" i="8"/>
  <c r="F7" i="8"/>
  <c r="F23" i="8"/>
  <c r="G23" i="8" s="1"/>
  <c r="H10" i="8"/>
  <c r="T16" i="7"/>
  <c r="H8" i="8" s="1"/>
  <c r="U16" i="7"/>
  <c r="H9" i="8" s="1"/>
  <c r="H17" i="8" s="1"/>
  <c r="I17" i="8" s="1"/>
  <c r="Q17" i="7"/>
  <c r="R17" i="7"/>
  <c r="S17" i="7" s="1"/>
  <c r="M18" i="7"/>
  <c r="J19" i="7"/>
  <c r="K19" i="7"/>
  <c r="N18" i="7"/>
  <c r="O18" i="7" s="1"/>
  <c r="P18" i="7" s="1"/>
  <c r="L18" i="7"/>
  <c r="F20" i="8" l="1"/>
  <c r="G20" i="8" s="1"/>
  <c r="F22" i="8"/>
  <c r="F6" i="8"/>
  <c r="F17" i="8"/>
  <c r="G17" i="8" s="1"/>
  <c r="F24" i="8"/>
  <c r="G24" i="8" s="1"/>
  <c r="G22" i="8"/>
  <c r="J10" i="8"/>
  <c r="H24" i="8"/>
  <c r="I24" i="8" s="1"/>
  <c r="H20" i="8"/>
  <c r="I20" i="8" s="1"/>
  <c r="H22" i="8"/>
  <c r="I22" i="8" s="1"/>
  <c r="H7" i="8"/>
  <c r="H6" i="8" s="1"/>
  <c r="H23" i="8"/>
  <c r="I23" i="8" s="1"/>
  <c r="Q18" i="7"/>
  <c r="R18" i="7"/>
  <c r="M19" i="7"/>
  <c r="J20" i="7"/>
  <c r="K20" i="7"/>
  <c r="N19" i="7"/>
  <c r="O19" i="7" s="1"/>
  <c r="P19" i="7" s="1"/>
  <c r="L19" i="7"/>
  <c r="T17" i="7"/>
  <c r="U17" i="7"/>
  <c r="S18" i="7"/>
  <c r="I14" i="8" l="1"/>
  <c r="I15" i="8"/>
  <c r="I16" i="8"/>
  <c r="G25" i="8"/>
  <c r="L10" i="8"/>
  <c r="J9" i="8"/>
  <c r="J17" i="8" s="1"/>
  <c r="K17" i="8" s="1"/>
  <c r="H43" i="8"/>
  <c r="I43" i="8" s="1"/>
  <c r="J8" i="8"/>
  <c r="I25" i="8"/>
  <c r="J7" i="8"/>
  <c r="J6" i="8" s="1"/>
  <c r="J23" i="8"/>
  <c r="K23" i="8" s="1"/>
  <c r="T18" i="7"/>
  <c r="L8" i="8" s="1"/>
  <c r="U18" i="7"/>
  <c r="Q19" i="7"/>
  <c r="R19" i="7"/>
  <c r="S19" i="7" s="1"/>
  <c r="M20" i="7"/>
  <c r="J21" i="7"/>
  <c r="K21" i="7"/>
  <c r="N20" i="7"/>
  <c r="O20" i="7" s="1"/>
  <c r="P20" i="7" s="1"/>
  <c r="L20" i="7"/>
  <c r="J15" i="8" l="1"/>
  <c r="J14" i="8"/>
  <c r="K14" i="8"/>
  <c r="K15" i="8"/>
  <c r="J16" i="8"/>
  <c r="K16" i="8" s="1"/>
  <c r="N10" i="8"/>
  <c r="L9" i="8"/>
  <c r="L17" i="8" s="1"/>
  <c r="M17" i="8" s="1"/>
  <c r="J24" i="8"/>
  <c r="K24" i="8" s="1"/>
  <c r="J20" i="8"/>
  <c r="K20" i="8" s="1"/>
  <c r="J22" i="8"/>
  <c r="K22" i="8" s="1"/>
  <c r="L7" i="8"/>
  <c r="L6" i="8" s="1"/>
  <c r="L23" i="8"/>
  <c r="M23" i="8" s="1"/>
  <c r="Q20" i="7"/>
  <c r="R20" i="7"/>
  <c r="M21" i="7"/>
  <c r="J22" i="7"/>
  <c r="K22" i="7"/>
  <c r="N21" i="7"/>
  <c r="O21" i="7" s="1"/>
  <c r="P21" i="7" s="1"/>
  <c r="L21" i="7"/>
  <c r="T19" i="7"/>
  <c r="U19" i="7"/>
  <c r="N9" i="8" s="1"/>
  <c r="N17" i="8" s="1"/>
  <c r="O17" i="8" s="1"/>
  <c r="S20" i="7"/>
  <c r="L15" i="8" l="1"/>
  <c r="L14" i="8"/>
  <c r="M14" i="8"/>
  <c r="M15" i="8"/>
  <c r="L16" i="8"/>
  <c r="M16" i="8" s="1"/>
  <c r="P10" i="8"/>
  <c r="N24" i="8"/>
  <c r="O24" i="8" s="1"/>
  <c r="N20" i="8"/>
  <c r="O20" i="8" s="1"/>
  <c r="N22" i="8"/>
  <c r="O22" i="8" s="1"/>
  <c r="N8" i="8"/>
  <c r="K25" i="8"/>
  <c r="L24" i="8"/>
  <c r="M24" i="8" s="1"/>
  <c r="L20" i="8"/>
  <c r="M20" i="8" s="1"/>
  <c r="L22" i="8"/>
  <c r="M22" i="8" s="1"/>
  <c r="N7" i="8"/>
  <c r="N6" i="8" s="1"/>
  <c r="N23" i="8"/>
  <c r="O23" i="8" s="1"/>
  <c r="T20" i="7"/>
  <c r="P8" i="8" s="1"/>
  <c r="U20" i="7"/>
  <c r="Q21" i="7"/>
  <c r="R21" i="7"/>
  <c r="S21" i="7" s="1"/>
  <c r="M22" i="7"/>
  <c r="J23" i="7"/>
  <c r="K23" i="7"/>
  <c r="N22" i="7"/>
  <c r="O22" i="7" s="1"/>
  <c r="P22" i="7" s="1"/>
  <c r="L22" i="7"/>
  <c r="N15" i="8" l="1"/>
  <c r="N14" i="8"/>
  <c r="O14" i="8"/>
  <c r="O15" i="8"/>
  <c r="N16" i="8"/>
  <c r="O16" i="8" s="1"/>
  <c r="R10" i="8"/>
  <c r="P9" i="8"/>
  <c r="P17" i="8" s="1"/>
  <c r="Q17" i="8" s="1"/>
  <c r="M25" i="8"/>
  <c r="O25" i="8"/>
  <c r="P7" i="8"/>
  <c r="P6" i="8" s="1"/>
  <c r="P23" i="8"/>
  <c r="Q23" i="8" s="1"/>
  <c r="Q22" i="7"/>
  <c r="R22" i="7"/>
  <c r="M23" i="7"/>
  <c r="J24" i="7"/>
  <c r="K24" i="7"/>
  <c r="N23" i="7"/>
  <c r="O23" i="7" s="1"/>
  <c r="P23" i="7" s="1"/>
  <c r="L23" i="7"/>
  <c r="T21" i="7"/>
  <c r="U21" i="7"/>
  <c r="R9" i="8" s="1"/>
  <c r="R17" i="8" s="1"/>
  <c r="S17" i="8" s="1"/>
  <c r="S22" i="7"/>
  <c r="P15" i="8" l="1"/>
  <c r="P14" i="8"/>
  <c r="Q14" i="8"/>
  <c r="Q15" i="8"/>
  <c r="P16" i="8"/>
  <c r="Q16" i="8" s="1"/>
  <c r="T10" i="8"/>
  <c r="R24" i="8"/>
  <c r="S24" i="8" s="1"/>
  <c r="R20" i="8"/>
  <c r="S20" i="8" s="1"/>
  <c r="R22" i="8"/>
  <c r="S22" i="8" s="1"/>
  <c r="R8" i="8"/>
  <c r="P24" i="8"/>
  <c r="Q24" i="8" s="1"/>
  <c r="P20" i="8"/>
  <c r="Q20" i="8" s="1"/>
  <c r="P22" i="8"/>
  <c r="Q22" i="8" s="1"/>
  <c r="R7" i="8"/>
  <c r="R6" i="8" s="1"/>
  <c r="R23" i="8"/>
  <c r="S23" i="8" s="1"/>
  <c r="T22" i="7"/>
  <c r="T8" i="8" s="1"/>
  <c r="U22" i="7"/>
  <c r="Q23" i="7"/>
  <c r="R23" i="7"/>
  <c r="S23" i="7" s="1"/>
  <c r="M24" i="7"/>
  <c r="J25" i="7"/>
  <c r="K25" i="7"/>
  <c r="N24" i="7"/>
  <c r="O24" i="7" s="1"/>
  <c r="P24" i="7" s="1"/>
  <c r="L24" i="7"/>
  <c r="R15" i="8" l="1"/>
  <c r="R14" i="8"/>
  <c r="S14" i="8"/>
  <c r="S15" i="8"/>
  <c r="R16" i="8"/>
  <c r="S16" i="8" s="1"/>
  <c r="Q18" i="8"/>
  <c r="V10" i="8"/>
  <c r="T9" i="8"/>
  <c r="T17" i="8" s="1"/>
  <c r="U17" i="8" s="1"/>
  <c r="Q25" i="8"/>
  <c r="O18" i="8"/>
  <c r="S25" i="8"/>
  <c r="T7" i="8"/>
  <c r="T6" i="8" s="1"/>
  <c r="T23" i="8"/>
  <c r="U23" i="8" s="1"/>
  <c r="Q24" i="7"/>
  <c r="R24" i="7"/>
  <c r="M25" i="7"/>
  <c r="J26" i="7"/>
  <c r="K26" i="7"/>
  <c r="N25" i="7"/>
  <c r="O25" i="7" s="1"/>
  <c r="P25" i="7" s="1"/>
  <c r="L25" i="7"/>
  <c r="T23" i="7"/>
  <c r="U23" i="7"/>
  <c r="V9" i="8" s="1"/>
  <c r="V17" i="8" s="1"/>
  <c r="W17" i="8" s="1"/>
  <c r="S24" i="7"/>
  <c r="T15" i="8" l="1"/>
  <c r="T14" i="8"/>
  <c r="U14" i="8"/>
  <c r="U15" i="8"/>
  <c r="T16" i="8"/>
  <c r="U16" i="8" s="1"/>
  <c r="X10" i="8"/>
  <c r="V24" i="8"/>
  <c r="W24" i="8" s="1"/>
  <c r="V20" i="8"/>
  <c r="W20" i="8" s="1"/>
  <c r="V22" i="8"/>
  <c r="W22" i="8" s="1"/>
  <c r="V8" i="8"/>
  <c r="O27" i="8"/>
  <c r="Q27" i="8"/>
  <c r="Q29" i="8" s="1"/>
  <c r="T24" i="8"/>
  <c r="U24" i="8" s="1"/>
  <c r="T20" i="8"/>
  <c r="U20" i="8" s="1"/>
  <c r="T22" i="8"/>
  <c r="U22" i="8" s="1"/>
  <c r="V7" i="8"/>
  <c r="V6" i="8" s="1"/>
  <c r="V23" i="8"/>
  <c r="W23" i="8" s="1"/>
  <c r="T24" i="7"/>
  <c r="X8" i="8" s="1"/>
  <c r="U24" i="7"/>
  <c r="X9" i="8" s="1"/>
  <c r="X17" i="8" s="1"/>
  <c r="Y17" i="8" s="1"/>
  <c r="Q25" i="7"/>
  <c r="R25" i="7"/>
  <c r="S25" i="7" s="1"/>
  <c r="M26" i="7"/>
  <c r="J27" i="7"/>
  <c r="K27" i="7"/>
  <c r="M27" i="7" s="1"/>
  <c r="N26" i="7"/>
  <c r="O26" i="7" s="1"/>
  <c r="P26" i="7" s="1"/>
  <c r="L26" i="7"/>
  <c r="V15" i="8" l="1"/>
  <c r="V14" i="8"/>
  <c r="W14" i="8"/>
  <c r="W15" i="8"/>
  <c r="V16" i="8"/>
  <c r="W16" i="8" s="1"/>
  <c r="U18" i="8"/>
  <c r="Z10" i="8"/>
  <c r="X24" i="8"/>
  <c r="Y24" i="8" s="1"/>
  <c r="X20" i="8"/>
  <c r="Y20" i="8" s="1"/>
  <c r="X22" i="8"/>
  <c r="Y22" i="8" s="1"/>
  <c r="U25" i="8"/>
  <c r="O29" i="8"/>
  <c r="S18" i="8"/>
  <c r="S27" i="8" s="1"/>
  <c r="S29" i="8" s="1"/>
  <c r="W25" i="8"/>
  <c r="X7" i="8"/>
  <c r="X6" i="8" s="1"/>
  <c r="X23" i="8"/>
  <c r="Y23" i="8" s="1"/>
  <c r="Q26" i="7"/>
  <c r="R26" i="7"/>
  <c r="N27" i="7"/>
  <c r="O27" i="7" s="1"/>
  <c r="P27" i="7" s="1"/>
  <c r="L27" i="7"/>
  <c r="T25" i="7"/>
  <c r="Z8" i="8" s="1"/>
  <c r="U25" i="7"/>
  <c r="Z9" i="8" s="1"/>
  <c r="Z17" i="8" s="1"/>
  <c r="AA17" i="8" s="1"/>
  <c r="S26" i="7"/>
  <c r="X15" i="8" l="1"/>
  <c r="X14" i="8"/>
  <c r="Y14" i="8"/>
  <c r="Y15" i="8"/>
  <c r="X16" i="8"/>
  <c r="Y16" i="8" s="1"/>
  <c r="AB10" i="8"/>
  <c r="Z24" i="8"/>
  <c r="AA24" i="8" s="1"/>
  <c r="Z20" i="8"/>
  <c r="AA20" i="8" s="1"/>
  <c r="Z22" i="8"/>
  <c r="AA22" i="8" s="1"/>
  <c r="W18" i="8"/>
  <c r="W27" i="8" s="1"/>
  <c r="W29" i="8" s="1"/>
  <c r="U27" i="8"/>
  <c r="U29" i="8" s="1"/>
  <c r="Y25" i="8"/>
  <c r="Z7" i="8"/>
  <c r="Z6" i="8" s="1"/>
  <c r="Z23" i="8"/>
  <c r="AA23" i="8" s="1"/>
  <c r="T26" i="7"/>
  <c r="AB8" i="8" s="1"/>
  <c r="U26" i="7"/>
  <c r="AB9" i="8" s="1"/>
  <c r="AB17" i="8" s="1"/>
  <c r="AC17" i="8" s="1"/>
  <c r="Q27" i="7"/>
  <c r="R27" i="7"/>
  <c r="S27" i="7" s="1"/>
  <c r="Z15" i="8" l="1"/>
  <c r="Z14" i="8"/>
  <c r="AA14" i="8"/>
  <c r="AA15" i="8"/>
  <c r="Z16" i="8"/>
  <c r="AA16" i="8" s="1"/>
  <c r="Y18" i="8"/>
  <c r="Y27" i="8" s="1"/>
  <c r="Y29" i="8" s="1"/>
  <c r="AD10" i="8"/>
  <c r="AB24" i="8"/>
  <c r="AC24" i="8" s="1"/>
  <c r="AB22" i="8"/>
  <c r="AC22" i="8" s="1"/>
  <c r="AB20" i="8"/>
  <c r="AC20" i="8" s="1"/>
  <c r="AA25" i="8"/>
  <c r="AB7" i="8"/>
  <c r="AB6" i="8" s="1"/>
  <c r="AB23" i="8"/>
  <c r="AC23" i="8" s="1"/>
  <c r="T27" i="7"/>
  <c r="U27" i="7"/>
  <c r="J6" i="7" s="1"/>
  <c r="I6" i="7" s="1"/>
  <c r="S28" i="7"/>
  <c r="AD9" i="8" l="1"/>
  <c r="AD17" i="8" s="1"/>
  <c r="AE17" i="8" s="1"/>
  <c r="H46" i="8"/>
  <c r="I46" i="8" s="1"/>
  <c r="AB15" i="8"/>
  <c r="AB14" i="8"/>
  <c r="AC14" i="8"/>
  <c r="AC15" i="8"/>
  <c r="AB16" i="8"/>
  <c r="AC16" i="8" s="1"/>
  <c r="AA18" i="8"/>
  <c r="AA27" i="8" s="1"/>
  <c r="AA29" i="8" s="1"/>
  <c r="AD24" i="8"/>
  <c r="AE24" i="8" s="1"/>
  <c r="AD22" i="8"/>
  <c r="AE22" i="8" s="1"/>
  <c r="AD20" i="8"/>
  <c r="AE20" i="8" s="1"/>
  <c r="AF9" i="8"/>
  <c r="AD8" i="8"/>
  <c r="AC25" i="8"/>
  <c r="AD7" i="8"/>
  <c r="AD6" i="8" s="1"/>
  <c r="AD23" i="8"/>
  <c r="AE23" i="8" s="1"/>
  <c r="AF10" i="8"/>
  <c r="U28" i="7"/>
  <c r="T28" i="7"/>
  <c r="I47" i="8" l="1"/>
  <c r="J40" i="8"/>
  <c r="J45" i="8" s="1"/>
  <c r="K45" i="8" s="1"/>
  <c r="AD15" i="8"/>
  <c r="AD14" i="8"/>
  <c r="AE14" i="8"/>
  <c r="AE15" i="8"/>
  <c r="AD16" i="8"/>
  <c r="AE16" i="8" s="1"/>
  <c r="AC18" i="8"/>
  <c r="AC27" i="8" s="1"/>
  <c r="AC29" i="8" s="1"/>
  <c r="AF8" i="8"/>
  <c r="AE25" i="8"/>
  <c r="U26" i="8" l="1"/>
  <c r="T30" i="8" s="1"/>
  <c r="W26" i="8"/>
  <c r="Y26" i="8"/>
  <c r="X30" i="8" s="1"/>
  <c r="AA26" i="8"/>
  <c r="Z30" i="8" s="1"/>
  <c r="AC26" i="8"/>
  <c r="AB30" i="8" s="1"/>
  <c r="AE26" i="8"/>
  <c r="J43" i="8"/>
  <c r="K43" i="8" s="1"/>
  <c r="J46" i="8"/>
  <c r="K46" i="8" s="1"/>
  <c r="G26" i="8"/>
  <c r="I26" i="8"/>
  <c r="K26" i="8"/>
  <c r="M26" i="8"/>
  <c r="O26" i="8"/>
  <c r="N30" i="8" s="1"/>
  <c r="Q26" i="8"/>
  <c r="P30" i="8" s="1"/>
  <c r="S26" i="8"/>
  <c r="R30" i="8" s="1"/>
  <c r="V30" i="8"/>
  <c r="AF25" i="8"/>
  <c r="L40" i="8" l="1"/>
  <c r="L45" i="8" s="1"/>
  <c r="M45" i="8" s="1"/>
  <c r="K47" i="8"/>
  <c r="AE18" i="8"/>
  <c r="AF14" i="8"/>
  <c r="AF26" i="8"/>
  <c r="L43" i="8" l="1"/>
  <c r="M43" i="8" s="1"/>
  <c r="L46" i="8"/>
  <c r="M46" i="8" s="1"/>
  <c r="AE27" i="8"/>
  <c r="N40" i="8" l="1"/>
  <c r="N45" i="8" s="1"/>
  <c r="O45" i="8" s="1"/>
  <c r="M47" i="8"/>
  <c r="AE29" i="8"/>
  <c r="N43" i="8" l="1"/>
  <c r="O43" i="8" s="1"/>
  <c r="N46" i="8"/>
  <c r="O46" i="8" s="1"/>
  <c r="AD30" i="8"/>
  <c r="P40" i="8" l="1"/>
  <c r="P45" i="8" s="1"/>
  <c r="Q45" i="8" s="1"/>
  <c r="O47" i="8"/>
  <c r="P43" i="8" l="1"/>
  <c r="Q43" i="8" s="1"/>
  <c r="P46" i="8"/>
  <c r="Q46" i="8" s="1"/>
  <c r="R40" i="8"/>
  <c r="R45" i="8" s="1"/>
  <c r="S45" i="8" s="1"/>
  <c r="E15" i="8"/>
  <c r="L58" i="2"/>
  <c r="W32" i="2" s="1"/>
  <c r="E14" i="8"/>
  <c r="E18" i="8" s="1"/>
  <c r="S38" i="2"/>
  <c r="AA47" i="2" s="1"/>
  <c r="AA45" i="2" s="1"/>
  <c r="L44" i="2"/>
  <c r="U29" i="2"/>
  <c r="X38" i="2" s="1"/>
  <c r="S34" i="2"/>
  <c r="W39" i="2" l="1"/>
  <c r="R43" i="8"/>
  <c r="S43" i="8" s="1"/>
  <c r="R46" i="8"/>
  <c r="S46" i="8" s="1"/>
  <c r="T40" i="8"/>
  <c r="T45" i="8" s="1"/>
  <c r="U45" i="8" s="1"/>
  <c r="Q47" i="8"/>
  <c r="X48" i="2"/>
  <c r="Y54" i="2" s="1"/>
  <c r="Y55" i="2" s="1"/>
  <c r="E27" i="8"/>
  <c r="E29" i="8" s="1"/>
  <c r="E30" i="8" s="1"/>
  <c r="L47" i="2"/>
  <c r="T43" i="8" l="1"/>
  <c r="U43" i="8" s="1"/>
  <c r="T46" i="8"/>
  <c r="U46" i="8" s="1"/>
  <c r="V40" i="8"/>
  <c r="V45" i="8" s="1"/>
  <c r="W45" i="8" s="1"/>
  <c r="S47" i="8"/>
  <c r="G18" i="8"/>
  <c r="M18" i="8"/>
  <c r="M27" i="8"/>
  <c r="M29" i="8" s="1"/>
  <c r="L30" i="8" s="1"/>
  <c r="K18" i="8"/>
  <c r="K27" i="8"/>
  <c r="K29" i="8" s="1"/>
  <c r="J30" i="8" s="1"/>
  <c r="V43" i="8" l="1"/>
  <c r="W43" i="8" s="1"/>
  <c r="V46" i="8"/>
  <c r="W46" i="8" s="1"/>
  <c r="X40" i="8"/>
  <c r="X45" i="8" s="1"/>
  <c r="Y45" i="8" s="1"/>
  <c r="U47" i="8"/>
  <c r="G27" i="8"/>
  <c r="X43" i="8" l="1"/>
  <c r="Y43" i="8" s="1"/>
  <c r="X46" i="8"/>
  <c r="Y46" i="8" s="1"/>
  <c r="Z40" i="8"/>
  <c r="Z45" i="8" s="1"/>
  <c r="AA45" i="8" s="1"/>
  <c r="W47" i="8"/>
  <c r="G29" i="8"/>
  <c r="Z43" i="8" l="1"/>
  <c r="AA43" i="8" s="1"/>
  <c r="Z46" i="8"/>
  <c r="AA46" i="8" s="1"/>
  <c r="AB40" i="8"/>
  <c r="AB45" i="8" s="1"/>
  <c r="AC45" i="8" s="1"/>
  <c r="Y47" i="8"/>
  <c r="F30" i="8"/>
  <c r="AB43" i="8" l="1"/>
  <c r="AC43" i="8" s="1"/>
  <c r="AB46" i="8"/>
  <c r="AC46" i="8" s="1"/>
  <c r="AD40" i="8"/>
  <c r="AD45" i="8" s="1"/>
  <c r="AE45" i="8" s="1"/>
  <c r="AA47" i="8"/>
  <c r="F31" i="8"/>
  <c r="I18" i="8"/>
  <c r="I27" i="8"/>
  <c r="AF27" i="8" s="1"/>
  <c r="I29" i="8" l="1"/>
  <c r="AF18" i="8"/>
  <c r="AF21" i="8"/>
  <c r="AD43" i="8"/>
  <c r="AE43" i="8" s="1"/>
  <c r="AD46" i="8"/>
  <c r="AE46" i="8" s="1"/>
  <c r="AF44" i="8"/>
  <c r="AC47" i="8"/>
  <c r="AF43" i="8"/>
  <c r="AF23" i="8"/>
  <c r="AF16" i="8"/>
  <c r="AF17" i="8"/>
  <c r="AF20" i="8"/>
  <c r="AF22" i="8"/>
  <c r="AF19" i="8"/>
  <c r="AF24" i="8"/>
  <c r="AF29" i="8" l="1"/>
  <c r="H30" i="8"/>
  <c r="AF45" i="8"/>
  <c r="AF46" i="8"/>
  <c r="AE47" i="8"/>
  <c r="AF30" i="8" l="1"/>
  <c r="H31" i="8"/>
  <c r="J31" i="8" s="1"/>
  <c r="L31" i="8" s="1"/>
  <c r="N31" i="8" s="1"/>
  <c r="P31" i="8" s="1"/>
  <c r="R31" i="8" s="1"/>
  <c r="T31" i="8" s="1"/>
  <c r="V31" i="8" s="1"/>
  <c r="X31" i="8" s="1"/>
  <c r="Z31" i="8" s="1"/>
  <c r="AB31" i="8" s="1"/>
  <c r="AD31" i="8" s="1"/>
  <c r="AF47" i="8"/>
</calcChain>
</file>

<file path=xl/sharedStrings.xml><?xml version="1.0" encoding="utf-8"?>
<sst xmlns="http://schemas.openxmlformats.org/spreadsheetml/2006/main" count="433" uniqueCount="285">
  <si>
    <t>基準額</t>
  </si>
  <si>
    <t>雑費</t>
    <rPh sb="0" eb="2">
      <t>ザッピ</t>
    </rPh>
    <phoneticPr fontId="2"/>
  </si>
  <si>
    <t>実地研修費</t>
    <rPh sb="0" eb="2">
      <t>ジッチ</t>
    </rPh>
    <rPh sb="2" eb="4">
      <t>ケンシュウ</t>
    </rPh>
    <rPh sb="4" eb="5">
      <t>ヒ</t>
    </rPh>
    <phoneticPr fontId="2"/>
  </si>
  <si>
    <t>計</t>
    <rPh sb="0" eb="1">
      <t>ケイ</t>
    </rPh>
    <phoneticPr fontId="2"/>
  </si>
  <si>
    <t>全体研修期間</t>
    <rPh sb="0" eb="2">
      <t>ゼンタイ</t>
    </rPh>
    <rPh sb="2" eb="4">
      <t>ケンシュウ</t>
    </rPh>
    <rPh sb="4" eb="6">
      <t>キカン</t>
    </rPh>
    <phoneticPr fontId="2"/>
  </si>
  <si>
    <t>一般研修期間</t>
    <rPh sb="0" eb="2">
      <t>イッパン</t>
    </rPh>
    <rPh sb="2" eb="4">
      <t>ケンシュウ</t>
    </rPh>
    <rPh sb="4" eb="6">
      <t>キカン</t>
    </rPh>
    <phoneticPr fontId="2"/>
  </si>
  <si>
    <t>実地研修費</t>
    <rPh sb="0" eb="2">
      <t>ジッチ</t>
    </rPh>
    <rPh sb="2" eb="5">
      <t>ケンシュウヒ</t>
    </rPh>
    <phoneticPr fontId="2"/>
  </si>
  <si>
    <t>1ヶ月目</t>
    <rPh sb="2" eb="3">
      <t>ゲツ</t>
    </rPh>
    <rPh sb="3" eb="4">
      <t>メ</t>
    </rPh>
    <phoneticPr fontId="2"/>
  </si>
  <si>
    <t>2ヶ月目</t>
    <rPh sb="2" eb="3">
      <t>ゲツ</t>
    </rPh>
    <rPh sb="3" eb="4">
      <t>メ</t>
    </rPh>
    <phoneticPr fontId="2"/>
  </si>
  <si>
    <t>3ヶ月目</t>
    <rPh sb="2" eb="3">
      <t>ゲツ</t>
    </rPh>
    <rPh sb="3" eb="4">
      <t>メ</t>
    </rPh>
    <phoneticPr fontId="2"/>
  </si>
  <si>
    <t>4ヶ月目</t>
    <rPh sb="2" eb="3">
      <t>ゲツ</t>
    </rPh>
    <rPh sb="3" eb="4">
      <t>メ</t>
    </rPh>
    <phoneticPr fontId="2"/>
  </si>
  <si>
    <t>5ヶ月目</t>
    <rPh sb="2" eb="3">
      <t>ゲツ</t>
    </rPh>
    <rPh sb="3" eb="4">
      <t>メ</t>
    </rPh>
    <phoneticPr fontId="2"/>
  </si>
  <si>
    <t>6ヶ月目</t>
    <rPh sb="2" eb="3">
      <t>ゲツ</t>
    </rPh>
    <rPh sb="3" eb="4">
      <t>メ</t>
    </rPh>
    <phoneticPr fontId="2"/>
  </si>
  <si>
    <t>7ヶ月目</t>
    <rPh sb="2" eb="3">
      <t>ゲツ</t>
    </rPh>
    <rPh sb="3" eb="4">
      <t>メ</t>
    </rPh>
    <phoneticPr fontId="2"/>
  </si>
  <si>
    <t>8ヶ月目</t>
    <rPh sb="2" eb="3">
      <t>ゲツ</t>
    </rPh>
    <rPh sb="3" eb="4">
      <t>メ</t>
    </rPh>
    <phoneticPr fontId="2"/>
  </si>
  <si>
    <t>9ヶ月目</t>
    <rPh sb="2" eb="3">
      <t>ゲツ</t>
    </rPh>
    <rPh sb="3" eb="4">
      <t>メ</t>
    </rPh>
    <phoneticPr fontId="2"/>
  </si>
  <si>
    <t>10ヶ月目</t>
    <rPh sb="3" eb="4">
      <t>ゲツ</t>
    </rPh>
    <rPh sb="4" eb="5">
      <t>メ</t>
    </rPh>
    <phoneticPr fontId="2"/>
  </si>
  <si>
    <t>11ヶ月目</t>
    <rPh sb="3" eb="4">
      <t>ゲツ</t>
    </rPh>
    <rPh sb="4" eb="5">
      <t>メ</t>
    </rPh>
    <phoneticPr fontId="2"/>
  </si>
  <si>
    <t>12ヶ月目</t>
    <rPh sb="3" eb="4">
      <t>ゲツ</t>
    </rPh>
    <rPh sb="4" eb="5">
      <t>メ</t>
    </rPh>
    <phoneticPr fontId="2"/>
  </si>
  <si>
    <t>13ヶ月目</t>
    <rPh sb="3" eb="4">
      <t>ゲツ</t>
    </rPh>
    <rPh sb="4" eb="5">
      <t>メ</t>
    </rPh>
    <phoneticPr fontId="2"/>
  </si>
  <si>
    <t>【期間情報】</t>
    <rPh sb="1" eb="3">
      <t>キカン</t>
    </rPh>
    <rPh sb="3" eb="5">
      <t>ジョウホウ</t>
    </rPh>
    <phoneticPr fontId="2"/>
  </si>
  <si>
    <t>【研修日数計算】</t>
    <rPh sb="1" eb="3">
      <t>ケンシュウ</t>
    </rPh>
    <rPh sb="3" eb="5">
      <t>ニッスウ</t>
    </rPh>
    <rPh sb="5" eb="7">
      <t>ケイサン</t>
    </rPh>
    <phoneticPr fontId="2"/>
  </si>
  <si>
    <t>金額</t>
    <rPh sb="0" eb="2">
      <t>キンガク</t>
    </rPh>
    <phoneticPr fontId="2"/>
  </si>
  <si>
    <t>食費</t>
  </si>
  <si>
    <t>受入会社施設</t>
    <rPh sb="0" eb="2">
      <t>ウケイレ</t>
    </rPh>
    <rPh sb="2" eb="4">
      <t>カイシャ</t>
    </rPh>
    <rPh sb="4" eb="6">
      <t>シセツ</t>
    </rPh>
    <phoneticPr fontId="2"/>
  </si>
  <si>
    <t>外部宿舎</t>
    <rPh sb="0" eb="2">
      <t>ガイブ</t>
    </rPh>
    <rPh sb="2" eb="4">
      <t>シュクシャ</t>
    </rPh>
    <phoneticPr fontId="2"/>
  </si>
  <si>
    <t>備考</t>
    <rPh sb="0" eb="2">
      <t>ビコウ</t>
    </rPh>
    <phoneticPr fontId="2"/>
  </si>
  <si>
    <t>実地研修開始日</t>
    <rPh sb="0" eb="2">
      <t>ジッチ</t>
    </rPh>
    <rPh sb="2" eb="4">
      <t>ケンシュウ</t>
    </rPh>
    <rPh sb="4" eb="6">
      <t>カイシ</t>
    </rPh>
    <rPh sb="6" eb="7">
      <t>ビ</t>
    </rPh>
    <phoneticPr fontId="2"/>
  </si>
  <si>
    <t>項番</t>
    <rPh sb="0" eb="1">
      <t>コウ</t>
    </rPh>
    <rPh sb="1" eb="2">
      <t>バン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</si>
  <si>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</si>
  <si>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</si>
  <si>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場所</t>
    <rPh sb="0" eb="2">
      <t>バショ</t>
    </rPh>
    <phoneticPr fontId="2"/>
  </si>
  <si>
    <t>月末日</t>
    <rPh sb="0" eb="1">
      <t>ゲツ</t>
    </rPh>
    <rPh sb="1" eb="3">
      <t>マツジツ</t>
    </rPh>
    <phoneticPr fontId="2"/>
  </si>
  <si>
    <t>期間</t>
    <rPh sb="0" eb="2">
      <t>キカン</t>
    </rPh>
    <phoneticPr fontId="2"/>
  </si>
  <si>
    <t>研修日数</t>
    <rPh sb="0" eb="2">
      <t>ケンシュウ</t>
    </rPh>
    <rPh sb="2" eb="4">
      <t>ニッスウ</t>
    </rPh>
    <phoneticPr fontId="2"/>
  </si>
  <si>
    <t>実地研修
日数</t>
    <rPh sb="0" eb="2">
      <t>ジッチ</t>
    </rPh>
    <rPh sb="2" eb="4">
      <t>ケンシュウ</t>
    </rPh>
    <rPh sb="5" eb="7">
      <t>ニッスウ</t>
    </rPh>
    <phoneticPr fontId="2"/>
  </si>
  <si>
    <t>一般研修
日数</t>
    <rPh sb="0" eb="2">
      <t>イッパン</t>
    </rPh>
    <rPh sb="2" eb="4">
      <t>ケンシュウ</t>
    </rPh>
    <rPh sb="5" eb="7">
      <t>ニッスウ</t>
    </rPh>
    <phoneticPr fontId="2"/>
  </si>
  <si>
    <t>【日程表】</t>
    <rPh sb="1" eb="3">
      <t>ニッテイ</t>
    </rPh>
    <rPh sb="3" eb="4">
      <t>ヒョウ</t>
    </rPh>
    <phoneticPr fontId="2"/>
  </si>
  <si>
    <t>閏年
対象月？</t>
    <rPh sb="0" eb="2">
      <t>ウルウドシ</t>
    </rPh>
    <rPh sb="3" eb="5">
      <t>タイショウ</t>
    </rPh>
    <rPh sb="5" eb="6">
      <t>ツキ</t>
    </rPh>
    <phoneticPr fontId="2"/>
  </si>
  <si>
    <t>区分</t>
    <rPh sb="0" eb="2">
      <t>クブン</t>
    </rPh>
    <phoneticPr fontId="2"/>
  </si>
  <si>
    <t>（日程表の項番に対応）</t>
    <rPh sb="3" eb="4">
      <t>ヒョウ</t>
    </rPh>
    <rPh sb="5" eb="6">
      <t>コウ</t>
    </rPh>
    <rPh sb="6" eb="7">
      <t>バン</t>
    </rPh>
    <rPh sb="8" eb="10">
      <t>タイオウ</t>
    </rPh>
    <phoneticPr fontId="2"/>
  </si>
  <si>
    <t>日数
(来日日含む)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</si>
  <si>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来日日</t>
    <rPh sb="0" eb="2">
      <t>ライニチ</t>
    </rPh>
    <rPh sb="2" eb="3">
      <t>ヒ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</si>
  <si>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</si>
  <si>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</si>
  <si>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</si>
  <si>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</si>
  <si>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</si>
  <si>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</si>
  <si>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</si>
  <si>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</si>
  <si>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</si>
  <si>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</si>
  <si>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</si>
  <si>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</si>
  <si>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</si>
  <si>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項目</t>
    <rPh sb="0" eb="2">
      <t>コウモク</t>
    </rPh>
    <phoneticPr fontId="2"/>
  </si>
  <si>
    <t>データ</t>
    <phoneticPr fontId="2"/>
  </si>
  <si>
    <t>来日日含む</t>
    <rPh sb="0" eb="2">
      <t>ライニチ</t>
    </rPh>
    <rPh sb="2" eb="3">
      <t>ビ</t>
    </rPh>
    <rPh sb="3" eb="4">
      <t>フク</t>
    </rPh>
    <phoneticPr fontId="2"/>
  </si>
  <si>
    <t>月日数</t>
    <rPh sb="0" eb="1">
      <t>ツキ</t>
    </rPh>
    <rPh sb="1" eb="3">
      <t>ニッスウ</t>
    </rPh>
    <phoneticPr fontId="2"/>
  </si>
  <si>
    <t>標準日数</t>
    <rPh sb="0" eb="2">
      <t>ヒョウジュン</t>
    </rPh>
    <rPh sb="2" eb="4">
      <t>ニッスウ</t>
    </rPh>
    <phoneticPr fontId="2"/>
  </si>
  <si>
    <t>【月別標準日数】</t>
    <rPh sb="1" eb="2">
      <t>ツキ</t>
    </rPh>
    <rPh sb="2" eb="3">
      <t>ベツ</t>
    </rPh>
    <rPh sb="3" eb="5">
      <t>ヒョウジュン</t>
    </rPh>
    <rPh sb="5" eb="7">
      <t>ニッスウ</t>
    </rPh>
    <phoneticPr fontId="2"/>
  </si>
  <si>
    <t>年(*1)</t>
    <rPh sb="0" eb="1">
      <t>ネン</t>
    </rPh>
    <phoneticPr fontId="2"/>
  </si>
  <si>
    <t>月(*2)</t>
    <rPh sb="0" eb="1">
      <t>ツキ</t>
    </rPh>
    <phoneticPr fontId="2"/>
  </si>
  <si>
    <t>年月日
（(*1),(*2),(*3）をｼﾘｱﾙ値変換）</t>
    <rPh sb="0" eb="3">
      <t>ネンガッピ</t>
    </rPh>
    <phoneticPr fontId="2"/>
  </si>
  <si>
    <t>日数/月
(*3)</t>
    <rPh sb="0" eb="2">
      <t>ニッスウ</t>
    </rPh>
    <rPh sb="3" eb="4">
      <t>ゲツ</t>
    </rPh>
    <phoneticPr fontId="2"/>
  </si>
  <si>
    <t>年&amp;月
(*1)&amp;(*2)</t>
    <rPh sb="0" eb="1">
      <t>ネン</t>
    </rPh>
    <rPh sb="2" eb="3">
      <t>ツキ</t>
    </rPh>
    <phoneticPr fontId="2"/>
  </si>
  <si>
    <t>研修終了日</t>
    <rPh sb="0" eb="2">
      <t>ケンシュウ</t>
    </rPh>
    <rPh sb="2" eb="5">
      <t>シュウリョウビ</t>
    </rPh>
    <phoneticPr fontId="2"/>
  </si>
  <si>
    <t>年度：</t>
    <rPh sb="0" eb="2">
      <t>ネンド</t>
    </rPh>
    <phoneticPr fontId="2"/>
  </si>
  <si>
    <t>研修旅行中</t>
  </si>
  <si>
    <t>日数</t>
    <rPh sb="0" eb="2">
      <t>ニッスウ</t>
    </rPh>
    <phoneticPr fontId="2"/>
  </si>
  <si>
    <t>空港</t>
    <rPh sb="0" eb="2">
      <t>クウコウ</t>
    </rPh>
    <phoneticPr fontId="2"/>
  </si>
  <si>
    <t>研修センター</t>
    <rPh sb="0" eb="2">
      <t>ケンシュウ</t>
    </rPh>
    <phoneticPr fontId="2"/>
  </si>
  <si>
    <t>TKC</t>
    <phoneticPr fontId="2"/>
  </si>
  <si>
    <t>成田</t>
    <rPh sb="0" eb="2">
      <t>ナリタ</t>
    </rPh>
    <phoneticPr fontId="2"/>
  </si>
  <si>
    <t>関西</t>
    <rPh sb="0" eb="2">
      <t>カンサイ</t>
    </rPh>
    <phoneticPr fontId="2"/>
  </si>
  <si>
    <t>KKC</t>
  </si>
  <si>
    <t>補助率</t>
    <rPh sb="0" eb="3">
      <t>ホジョリツ</t>
    </rPh>
    <phoneticPr fontId="2"/>
  </si>
  <si>
    <t>企業負担</t>
    <rPh sb="0" eb="2">
      <t>キギョウ</t>
    </rPh>
    <rPh sb="2" eb="4">
      <t>フタン</t>
    </rPh>
    <phoneticPr fontId="2"/>
  </si>
  <si>
    <t>【派遣元国】</t>
    <rPh sb="1" eb="4">
      <t>ハケンモト</t>
    </rPh>
    <rPh sb="4" eb="5">
      <t>クニ</t>
    </rPh>
    <phoneticPr fontId="2"/>
  </si>
  <si>
    <t>中国</t>
    <rPh sb="0" eb="2">
      <t>チュウゴク</t>
    </rPh>
    <phoneticPr fontId="2"/>
  </si>
  <si>
    <t>中国以外</t>
    <rPh sb="0" eb="2">
      <t>チュウゴク</t>
    </rPh>
    <rPh sb="2" eb="4">
      <t>イガイ</t>
    </rPh>
    <phoneticPr fontId="2"/>
  </si>
  <si>
    <t>【国内移動費基準額】　（2014.04現在）</t>
    <rPh sb="1" eb="3">
      <t>コクナイ</t>
    </rPh>
    <rPh sb="3" eb="5">
      <t>イドウ</t>
    </rPh>
    <rPh sb="5" eb="6">
      <t>ヒ</t>
    </rPh>
    <rPh sb="6" eb="8">
      <t>キジュン</t>
    </rPh>
    <rPh sb="8" eb="9">
      <t>ガク</t>
    </rPh>
    <rPh sb="19" eb="21">
      <t>ゲンザイ</t>
    </rPh>
    <phoneticPr fontId="2"/>
  </si>
  <si>
    <t>【国内移動費】</t>
    <phoneticPr fontId="2"/>
  </si>
  <si>
    <t>【実地研修中宿舎】</t>
    <rPh sb="1" eb="3">
      <t>ジッチ</t>
    </rPh>
    <rPh sb="3" eb="6">
      <t>ケンシュウチュウ</t>
    </rPh>
    <rPh sb="6" eb="8">
      <t>シュクシャ</t>
    </rPh>
    <phoneticPr fontId="2"/>
  </si>
  <si>
    <t>(1往復)</t>
  </si>
  <si>
    <t>補助金と賛助金</t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</si>
  <si>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</si>
  <si>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</si>
  <si>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</si>
  <si>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食費</t>
    <rPh sb="0" eb="2">
      <t>ショクヒ</t>
    </rPh>
    <phoneticPr fontId="2"/>
  </si>
  <si>
    <t>中堅・中小企業</t>
    <rPh sb="0" eb="2">
      <t>チュウケン</t>
    </rPh>
    <rPh sb="3" eb="5">
      <t>チュウショウ</t>
    </rPh>
    <rPh sb="5" eb="7">
      <t>キギョウ</t>
    </rPh>
    <phoneticPr fontId="2"/>
  </si>
  <si>
    <t>宿泊費</t>
    <rPh sb="0" eb="3">
      <t>シュクハクヒ</t>
    </rPh>
    <phoneticPr fontId="2"/>
  </si>
  <si>
    <t>低炭素技術輸出促進人材育成支援事業／中堅・中小企業</t>
    <phoneticPr fontId="2"/>
  </si>
  <si>
    <t>【研修申込区分】</t>
    <rPh sb="1" eb="3">
      <t>ケンシュウ</t>
    </rPh>
    <rPh sb="3" eb="5">
      <t>モウシコミ</t>
    </rPh>
    <rPh sb="5" eb="7">
      <t>クブン</t>
    </rPh>
    <phoneticPr fontId="2"/>
  </si>
  <si>
    <t>研修申込区分</t>
    <rPh sb="0" eb="2">
      <t>ケンシュウ</t>
    </rPh>
    <rPh sb="2" eb="4">
      <t>モウシコミ</t>
    </rPh>
    <rPh sb="4" eb="6">
      <t>クブン</t>
    </rPh>
    <phoneticPr fontId="2"/>
  </si>
  <si>
    <t>研修旅行中</t>
    <phoneticPr fontId="2"/>
  </si>
  <si>
    <t>低炭素技術輸出促進人材育成支援事業／一般企業 1/3補助</t>
    <rPh sb="18" eb="20">
      <t>イッパン</t>
    </rPh>
    <rPh sb="20" eb="22">
      <t>キギョウ</t>
    </rPh>
    <rPh sb="26" eb="28">
      <t>ホジョ</t>
    </rPh>
    <phoneticPr fontId="2"/>
  </si>
  <si>
    <t>低炭素技術輸出促進人材育成支援事業／一般企業 1/2補助</t>
    <rPh sb="18" eb="20">
      <t>イッパン</t>
    </rPh>
    <rPh sb="20" eb="22">
      <t>キギョウ</t>
    </rPh>
    <rPh sb="26" eb="28">
      <t>ホジョ</t>
    </rPh>
    <phoneticPr fontId="2"/>
  </si>
  <si>
    <t>来日日からの
日数</t>
    <rPh sb="0" eb="2">
      <t>ライニチ</t>
    </rPh>
    <rPh sb="2" eb="3">
      <t>ヒ</t>
    </rPh>
    <rPh sb="7" eb="9">
      <t>ニッスウ</t>
    </rPh>
    <phoneticPr fontId="2"/>
  </si>
  <si>
    <t>計（①）</t>
    <phoneticPr fontId="2"/>
  </si>
  <si>
    <t>計（②）</t>
    <phoneticPr fontId="2"/>
  </si>
  <si>
    <t>計（③）</t>
    <phoneticPr fontId="2"/>
  </si>
  <si>
    <t>受入企業から外部及び研修生への支払額</t>
    <phoneticPr fontId="2"/>
  </si>
  <si>
    <t>日数/回</t>
    <phoneticPr fontId="2"/>
  </si>
  <si>
    <t xml:space="preserve"> ※ 渡航費、国内移動費、および外部宿舎費の上限額を超える部分は、この表に含まれておりません。</t>
    <phoneticPr fontId="2"/>
  </si>
  <si>
    <t>渡航費</t>
    <phoneticPr fontId="2"/>
  </si>
  <si>
    <t>宿舎費</t>
    <phoneticPr fontId="2"/>
  </si>
  <si>
    <t>日</t>
    <phoneticPr fontId="2"/>
  </si>
  <si>
    <t>雑費</t>
    <phoneticPr fontId="2"/>
  </si>
  <si>
    <t>計</t>
    <phoneticPr fontId="2"/>
  </si>
  <si>
    <t>年月</t>
    <phoneticPr fontId="2"/>
  </si>
  <si>
    <t>日数（一般研修）</t>
    <phoneticPr fontId="2"/>
  </si>
  <si>
    <t>日数（実地研修）</t>
    <phoneticPr fontId="2"/>
  </si>
  <si>
    <t>日数計</t>
    <phoneticPr fontId="2"/>
  </si>
  <si>
    <t>費目</t>
    <phoneticPr fontId="2"/>
  </si>
  <si>
    <t>金額</t>
    <phoneticPr fontId="2"/>
  </si>
  <si>
    <t>計（円）</t>
    <phoneticPr fontId="2"/>
  </si>
  <si>
    <t>一般研修中</t>
    <phoneticPr fontId="2"/>
  </si>
  <si>
    <t>研修旅行中</t>
    <phoneticPr fontId="2"/>
  </si>
  <si>
    <t>チェックイン当日
（宿舎費+食費）</t>
    <phoneticPr fontId="2"/>
  </si>
  <si>
    <t>以外</t>
    <phoneticPr fontId="2"/>
  </si>
  <si>
    <t>センター滞在中
（宿舎費+食費）</t>
    <phoneticPr fontId="2"/>
  </si>
  <si>
    <t>食費</t>
    <phoneticPr fontId="2"/>
  </si>
  <si>
    <t>実地研修中</t>
    <phoneticPr fontId="2"/>
  </si>
  <si>
    <t>企業が受取る
受入費</t>
    <phoneticPr fontId="2"/>
  </si>
  <si>
    <t>基準額</t>
    <phoneticPr fontId="2"/>
  </si>
  <si>
    <t>滞在費</t>
    <phoneticPr fontId="2"/>
  </si>
  <si>
    <t>国内移動費(②')</t>
    <phoneticPr fontId="2"/>
  </si>
  <si>
    <t>賛助金</t>
    <phoneticPr fontId="2"/>
  </si>
  <si>
    <t>当月差引支払額（(②＋②')-③）</t>
    <phoneticPr fontId="2"/>
  </si>
  <si>
    <t>累計差引支払額(※)</t>
    <phoneticPr fontId="2"/>
  </si>
  <si>
    <t>実地研修中外部宿舎費（補助対象分）</t>
    <phoneticPr fontId="2"/>
  </si>
  <si>
    <t>Ⅰ．</t>
    <phoneticPr fontId="2"/>
  </si>
  <si>
    <t>企業名　：</t>
    <phoneticPr fontId="2"/>
  </si>
  <si>
    <t>Ⅱ．</t>
    <phoneticPr fontId="2"/>
  </si>
  <si>
    <t>研修申込区分　：</t>
    <phoneticPr fontId="2"/>
  </si>
  <si>
    <t>Ⅶ．</t>
    <phoneticPr fontId="2"/>
  </si>
  <si>
    <t>実地研修中の宿泊　：　</t>
    <phoneticPr fontId="2"/>
  </si>
  <si>
    <t>Ⅲ．</t>
    <phoneticPr fontId="2"/>
  </si>
  <si>
    <t>来日日　：</t>
    <phoneticPr fontId="2"/>
  </si>
  <si>
    <t>外部宿舎費（上で｢外部宿舎｣を選択の場合）：</t>
    <phoneticPr fontId="2"/>
  </si>
  <si>
    <t>円／泊</t>
    <phoneticPr fontId="2"/>
  </si>
  <si>
    <t>Ⅳ．</t>
    <phoneticPr fontId="2"/>
  </si>
  <si>
    <t>全体研修期間　：</t>
    <phoneticPr fontId="2"/>
  </si>
  <si>
    <t>日</t>
    <phoneticPr fontId="2"/>
  </si>
  <si>
    <t>円／泊</t>
    <phoneticPr fontId="2"/>
  </si>
  <si>
    <t>実地研修期間</t>
    <phoneticPr fontId="2"/>
  </si>
  <si>
    <t>Ⅷ．</t>
    <phoneticPr fontId="2"/>
  </si>
  <si>
    <t>国内移動費　：　受入企業負担率は掛かりません。</t>
    <phoneticPr fontId="2"/>
  </si>
  <si>
    <t>円</t>
    <phoneticPr fontId="2"/>
  </si>
  <si>
    <t>雑費</t>
    <phoneticPr fontId="2"/>
  </si>
  <si>
    <t>Ⅵ．</t>
    <phoneticPr fontId="2"/>
  </si>
  <si>
    <t>渡航費　：</t>
    <phoneticPr fontId="2"/>
  </si>
  <si>
    <t>計</t>
    <phoneticPr fontId="2"/>
  </si>
  <si>
    <t>実地研修費</t>
    <phoneticPr fontId="2"/>
  </si>
  <si>
    <t>【計算結果】</t>
    <phoneticPr fontId="2"/>
  </si>
  <si>
    <t>1)　受入費等支出明細　[コース開始前日にチェックイン、コース終了翌日にチェックアウトしたものとして設定]</t>
    <phoneticPr fontId="2"/>
  </si>
  <si>
    <t>費　　目</t>
    <phoneticPr fontId="2"/>
  </si>
  <si>
    <t>単価（\）</t>
    <phoneticPr fontId="2"/>
  </si>
  <si>
    <t>日数/回</t>
    <phoneticPr fontId="2"/>
  </si>
  <si>
    <t>国庫補助額</t>
    <phoneticPr fontId="2"/>
  </si>
  <si>
    <t>受入企業負担額</t>
    <phoneticPr fontId="2"/>
  </si>
  <si>
    <t>補助率：</t>
    <phoneticPr fontId="2"/>
  </si>
  <si>
    <t>負担率：</t>
    <phoneticPr fontId="2"/>
  </si>
  <si>
    <t>受入費</t>
    <phoneticPr fontId="2"/>
  </si>
  <si>
    <t>渡航費</t>
    <phoneticPr fontId="2"/>
  </si>
  <si>
    <t>滞在費</t>
    <phoneticPr fontId="2"/>
  </si>
  <si>
    <t>一般研修中</t>
    <phoneticPr fontId="2"/>
  </si>
  <si>
    <t>チェックイン当日</t>
    <phoneticPr fontId="2"/>
  </si>
  <si>
    <t>宿舎費+食費</t>
    <phoneticPr fontId="2"/>
  </si>
  <si>
    <t>センター滞在中</t>
    <phoneticPr fontId="2"/>
  </si>
  <si>
    <t>研修旅行中</t>
    <phoneticPr fontId="2"/>
  </si>
  <si>
    <t>宿舎費</t>
    <phoneticPr fontId="2"/>
  </si>
  <si>
    <t>実地研修中</t>
    <phoneticPr fontId="2"/>
  </si>
  <si>
    <t>国内移動費</t>
    <phoneticPr fontId="2"/>
  </si>
  <si>
    <t>-</t>
    <phoneticPr fontId="2"/>
  </si>
  <si>
    <t>合計</t>
    <phoneticPr fontId="2"/>
  </si>
  <si>
    <t>（受入費等 計：①）</t>
    <phoneticPr fontId="2"/>
  </si>
  <si>
    <t>（国庫補助金）</t>
    <phoneticPr fontId="2"/>
  </si>
  <si>
    <t>2)　賛助金　[受入企業負担の総額]</t>
    <phoneticPr fontId="2"/>
  </si>
  <si>
    <t>費目</t>
    <phoneticPr fontId="2"/>
  </si>
  <si>
    <t>支払額</t>
    <phoneticPr fontId="2"/>
  </si>
  <si>
    <t>賛助金</t>
    <phoneticPr fontId="2"/>
  </si>
  <si>
    <t>センター
　　利用料等</t>
    <phoneticPr fontId="2"/>
  </si>
  <si>
    <t>日数</t>
    <rPh sb="0" eb="2">
      <t>ニッスウ</t>
    </rPh>
    <phoneticPr fontId="2"/>
  </si>
  <si>
    <t>【研修旅行】</t>
    <rPh sb="1" eb="3">
      <t>ケンシュウ</t>
    </rPh>
    <rPh sb="3" eb="5">
      <t>リョコウ</t>
    </rPh>
    <phoneticPr fontId="2"/>
  </si>
  <si>
    <t>開始月</t>
    <rPh sb="0" eb="3">
      <t>カイシヅキ</t>
    </rPh>
    <phoneticPr fontId="2"/>
  </si>
  <si>
    <t>研修旅行予定日</t>
    <rPh sb="0" eb="2">
      <t>ケンシュウ</t>
    </rPh>
    <rPh sb="2" eb="4">
      <t>リョコウ</t>
    </rPh>
    <rPh sb="4" eb="7">
      <t>ヨテイビ</t>
    </rPh>
    <phoneticPr fontId="2"/>
  </si>
  <si>
    <t>【費用の使途(支払先別)】</t>
    <phoneticPr fontId="2"/>
  </si>
  <si>
    <t>支払先</t>
    <phoneticPr fontId="2"/>
  </si>
  <si>
    <t>費　　目</t>
    <phoneticPr fontId="2"/>
  </si>
  <si>
    <t>支出額</t>
    <phoneticPr fontId="2"/>
  </si>
  <si>
    <t>備　　考</t>
    <phoneticPr fontId="2"/>
  </si>
  <si>
    <t>旅費</t>
    <phoneticPr fontId="2"/>
  </si>
  <si>
    <t>旅行代理店等</t>
    <phoneticPr fontId="2"/>
  </si>
  <si>
    <t>渡航費</t>
    <phoneticPr fontId="2"/>
  </si>
  <si>
    <t>研修生へは現物提供</t>
    <phoneticPr fontId="2"/>
  </si>
  <si>
    <t>JR等</t>
    <phoneticPr fontId="2"/>
  </si>
  <si>
    <t>国内移動費</t>
    <phoneticPr fontId="2"/>
  </si>
  <si>
    <t>基準額超過分は受入企業負担</t>
    <phoneticPr fontId="2"/>
  </si>
  <si>
    <t>合　　計</t>
    <phoneticPr fontId="2"/>
  </si>
  <si>
    <t>宿舎費</t>
    <phoneticPr fontId="2"/>
  </si>
  <si>
    <t>外部宿舎</t>
    <phoneticPr fontId="2"/>
  </si>
  <si>
    <r>
      <t>実地研修中 宿舎費</t>
    </r>
    <r>
      <rPr>
        <sz val="8"/>
        <rFont val="ＭＳ Ｐゴシック"/>
        <family val="3"/>
        <charset val="128"/>
      </rPr>
      <t>(外部宿舎利用時)</t>
    </r>
    <phoneticPr fontId="2"/>
  </si>
  <si>
    <t>商業ホテル、旅館等</t>
    <phoneticPr fontId="2"/>
  </si>
  <si>
    <t>生活費</t>
    <phoneticPr fontId="2"/>
  </si>
  <si>
    <t>研修生</t>
    <phoneticPr fontId="2"/>
  </si>
  <si>
    <t>実地研修中 食費</t>
    <phoneticPr fontId="2"/>
  </si>
  <si>
    <t>現金払い</t>
    <phoneticPr fontId="2"/>
  </si>
  <si>
    <t>雑費</t>
    <phoneticPr fontId="2"/>
  </si>
  <si>
    <t>研修費等</t>
    <phoneticPr fontId="2"/>
  </si>
  <si>
    <t>受入企業</t>
    <phoneticPr fontId="2"/>
  </si>
  <si>
    <t>実地研修費</t>
    <phoneticPr fontId="2"/>
  </si>
  <si>
    <t>指導員人件費、作業着、テキスト等</t>
    <phoneticPr fontId="2"/>
  </si>
  <si>
    <r>
      <t>実地研修中 宿舎費</t>
    </r>
    <r>
      <rPr>
        <sz val="8"/>
        <rFont val="ＭＳ Ｐゴシック"/>
        <family val="3"/>
        <charset val="128"/>
      </rPr>
      <t>（会社施設利用時）</t>
    </r>
    <phoneticPr fontId="2"/>
  </si>
  <si>
    <t>社員寮、借上げアパート</t>
    <phoneticPr fontId="2"/>
  </si>
  <si>
    <t>受入費等基準額</t>
    <phoneticPr fontId="22"/>
  </si>
  <si>
    <t xml:space="preserve"> 滞在費</t>
    <phoneticPr fontId="22"/>
  </si>
  <si>
    <t>費用の使途</t>
    <phoneticPr fontId="2"/>
  </si>
  <si>
    <t>国庫補助金</t>
    <phoneticPr fontId="2"/>
  </si>
  <si>
    <t xml:space="preserve">   センター利用料</t>
    <phoneticPr fontId="22"/>
  </si>
  <si>
    <t>受入企業が研修生や業者へ支払う</t>
    <phoneticPr fontId="22"/>
  </si>
  <si>
    <t xml:space="preserve"> 渡航費</t>
    <phoneticPr fontId="22"/>
  </si>
  <si>
    <t>航空券代</t>
    <phoneticPr fontId="22"/>
  </si>
  <si>
    <t>　宿舎費</t>
    <phoneticPr fontId="2"/>
  </si>
  <si>
    <t>研修生への食費</t>
    <phoneticPr fontId="22"/>
  </si>
  <si>
    <t xml:space="preserve">   雑費</t>
    <phoneticPr fontId="22"/>
  </si>
  <si>
    <t>研修生への雑費</t>
    <phoneticPr fontId="22"/>
  </si>
  <si>
    <t xml:space="preserve"> 実地研修費</t>
    <phoneticPr fontId="22"/>
  </si>
  <si>
    <t>実地研修費用</t>
    <phoneticPr fontId="22"/>
  </si>
  <si>
    <t>+</t>
    <phoneticPr fontId="2"/>
  </si>
  <si>
    <t xml:space="preserve"> 国内移動費</t>
    <phoneticPr fontId="2"/>
  </si>
  <si>
    <t>国内移動費</t>
    <phoneticPr fontId="2"/>
  </si>
  <si>
    <t>国内移動費</t>
    <phoneticPr fontId="22"/>
  </si>
  <si>
    <t>(A)　-　(B)</t>
    <phoneticPr fontId="22"/>
  </si>
  <si>
    <t>②</t>
    <phoneticPr fontId="2"/>
  </si>
  <si>
    <t>③</t>
    <phoneticPr fontId="2"/>
  </si>
  <si>
    <t>【試算条件】</t>
    <rPh sb="1" eb="3">
      <t>シサン</t>
    </rPh>
    <rPh sb="3" eb="5">
      <t>ジョウケン</t>
    </rPh>
    <phoneticPr fontId="2"/>
  </si>
  <si>
    <t>：手入力</t>
    <rPh sb="1" eb="2">
      <t>テ</t>
    </rPh>
    <rPh sb="2" eb="4">
      <t>ニュウリョク</t>
    </rPh>
    <phoneticPr fontId="2"/>
  </si>
  <si>
    <t>月別受入費等明細</t>
    <rPh sb="0" eb="2">
      <t>ツキベツ</t>
    </rPh>
    <rPh sb="2" eb="4">
      <t>ウケイレ</t>
    </rPh>
    <rPh sb="4" eb="5">
      <t>ヒ</t>
    </rPh>
    <rPh sb="5" eb="6">
      <t>トウ</t>
    </rPh>
    <rPh sb="6" eb="8">
      <t>メイサイ</t>
    </rPh>
    <phoneticPr fontId="2"/>
  </si>
  <si>
    <t>作成日：</t>
    <rPh sb="0" eb="3">
      <t>サクセイビ</t>
    </rPh>
    <phoneticPr fontId="2"/>
  </si>
  <si>
    <t>対象期間：</t>
    <rPh sb="0" eb="2">
      <t>タイショウ</t>
    </rPh>
    <rPh sb="2" eb="4">
      <t>キカン</t>
    </rPh>
    <phoneticPr fontId="2"/>
  </si>
  <si>
    <t>実地研修</t>
    <rPh sb="0" eb="2">
      <t>ジッチ</t>
    </rPh>
    <rPh sb="2" eb="4">
      <t>ケンシュウ</t>
    </rPh>
    <phoneticPr fontId="2"/>
  </si>
  <si>
    <t>合　　計</t>
    <rPh sb="0" eb="1">
      <t>ア</t>
    </rPh>
    <rPh sb="3" eb="4">
      <t>ケイ</t>
    </rPh>
    <phoneticPr fontId="2"/>
  </si>
  <si>
    <t>技術協力活用型・新興国市場開拓事業（研修・専門家派遣事業）／一般企業（一般分野）</t>
    <rPh sb="30" eb="32">
      <t>イッパン</t>
    </rPh>
    <rPh sb="35" eb="37">
      <t>イッパン</t>
    </rPh>
    <rPh sb="37" eb="39">
      <t>ブンヤ</t>
    </rPh>
    <phoneticPr fontId="2"/>
  </si>
  <si>
    <t>技術協力活用型・新興国市場開拓事業（研修・専門家派遣事業）／中堅・中小企業</t>
    <rPh sb="30" eb="32">
      <t>チュウケン</t>
    </rPh>
    <phoneticPr fontId="2"/>
  </si>
  <si>
    <t>～</t>
    <phoneticPr fontId="2"/>
  </si>
  <si>
    <t>コース不参加</t>
    <rPh sb="3" eb="6">
      <t>フサンカ</t>
    </rPh>
    <phoneticPr fontId="2"/>
  </si>
  <si>
    <t>来日当日</t>
    <rPh sb="0" eb="2">
      <t>ライニチ</t>
    </rPh>
    <rPh sb="2" eb="4">
      <t>トウジツ</t>
    </rPh>
    <phoneticPr fontId="2"/>
  </si>
  <si>
    <t>来日翌日以降</t>
    <rPh sb="0" eb="2">
      <t>ライニチ</t>
    </rPh>
    <rPh sb="2" eb="4">
      <t>ヨクジツ</t>
    </rPh>
    <rPh sb="4" eb="6">
      <t>イコウ</t>
    </rPh>
    <phoneticPr fontId="2"/>
  </si>
  <si>
    <t>食費（来日翌日以降）</t>
    <rPh sb="3" eb="5">
      <t>ライニチ</t>
    </rPh>
    <rPh sb="5" eb="7">
      <t>ヨクジツ</t>
    </rPh>
    <rPh sb="7" eb="9">
      <t>イコウ</t>
    </rPh>
    <phoneticPr fontId="2"/>
  </si>
  <si>
    <t>食費（来日当日）</t>
    <rPh sb="5" eb="7">
      <t>トウジツ</t>
    </rPh>
    <phoneticPr fontId="2"/>
  </si>
  <si>
    <t xml:space="preserve">   食費</t>
    <phoneticPr fontId="22"/>
  </si>
  <si>
    <t>1. 来日空港～最初の実地研修地間：</t>
    <phoneticPr fontId="2"/>
  </si>
  <si>
    <t>来日空港</t>
    <phoneticPr fontId="2"/>
  </si>
  <si>
    <t>最初の実地研修地間</t>
    <phoneticPr fontId="2"/>
  </si>
  <si>
    <t>2. 最後の宿泊場所～離日空港間：</t>
    <phoneticPr fontId="2"/>
  </si>
  <si>
    <t>宿泊場所～離日空港間</t>
    <rPh sb="0" eb="2">
      <t>シュクハク</t>
    </rPh>
    <rPh sb="2" eb="4">
      <t>バショ</t>
    </rPh>
    <phoneticPr fontId="2"/>
  </si>
  <si>
    <t>：コース不参加 費用試算シート 【試算条件】での選択値</t>
    <rPh sb="4" eb="7">
      <t>フサンカ</t>
    </rPh>
    <rPh sb="8" eb="10">
      <t>ヒヨウ</t>
    </rPh>
    <rPh sb="10" eb="12">
      <t>シサン</t>
    </rPh>
    <rPh sb="17" eb="19">
      <t>シサン</t>
    </rPh>
    <rPh sb="19" eb="21">
      <t>ジョウケン</t>
    </rPh>
    <rPh sb="24" eb="26">
      <t>センタク</t>
    </rPh>
    <rPh sb="26" eb="27">
      <t>チ</t>
    </rPh>
    <phoneticPr fontId="2"/>
  </si>
  <si>
    <t>一般企業</t>
    <rPh sb="0" eb="2">
      <t>イッパン</t>
    </rPh>
    <rPh sb="2" eb="4">
      <t>キギョウ</t>
    </rPh>
    <phoneticPr fontId="2"/>
  </si>
  <si>
    <r>
      <t>渡航費</t>
    </r>
    <r>
      <rPr>
        <sz val="10"/>
        <color rgb="FFFF0000"/>
        <rFont val="ＭＳ Ｐゴシック"/>
        <family val="3"/>
        <charset val="128"/>
      </rPr>
      <t>（低炭素のみ補助対象）</t>
    </r>
    <phoneticPr fontId="2"/>
  </si>
  <si>
    <t>(A)企業が立替える</t>
    <rPh sb="6" eb="8">
      <t>タテカ</t>
    </rPh>
    <phoneticPr fontId="2"/>
  </si>
  <si>
    <t>（来日日を含む）</t>
    <rPh sb="1" eb="3">
      <t>ライニチ</t>
    </rPh>
    <rPh sb="3" eb="4">
      <t>ビ</t>
    </rPh>
    <rPh sb="5" eb="6">
      <t>フク</t>
    </rPh>
    <phoneticPr fontId="2"/>
  </si>
  <si>
    <t>企業が立替える受入費（A)</t>
    <phoneticPr fontId="2"/>
  </si>
  <si>
    <t>ＡＯＴＳ制度利用の費用試算（企業受入・一人あたり）</t>
    <rPh sb="6" eb="8">
      <t>リヨウ</t>
    </rPh>
    <rPh sb="19" eb="21">
      <t>ヒトリ</t>
    </rPh>
    <phoneticPr fontId="2"/>
  </si>
  <si>
    <t>AOTS研修ｺｰｽ</t>
    <phoneticPr fontId="2"/>
  </si>
  <si>
    <t>【受入費の流れ（ＡＯＴＳと企業の精算）】</t>
    <phoneticPr fontId="2"/>
  </si>
  <si>
    <t>AOTSが直接執行した受入費</t>
    <phoneticPr fontId="2"/>
  </si>
  <si>
    <t xml:space="preserve">(B)AOTSに払う </t>
    <phoneticPr fontId="22"/>
  </si>
  <si>
    <t>3)　ＡＯＴＳにて直接執行した受入費（研修センター利用料）</t>
    <phoneticPr fontId="3"/>
  </si>
  <si>
    <t>企業とAOTSの精算</t>
    <phoneticPr fontId="22"/>
  </si>
  <si>
    <t>企業からAOTSへお支払いいただきます</t>
    <phoneticPr fontId="2"/>
  </si>
  <si>
    <t>AOTSから企業へお支払いいたします</t>
    <phoneticPr fontId="2"/>
  </si>
  <si>
    <t>AOTSが直接執行した
受入費</t>
    <phoneticPr fontId="2"/>
  </si>
  <si>
    <t xml:space="preserve"> ※ 累計差引支払額がプラスになった時点（灰色の月）以降、AOTSから受入企業へ当月差引支払額が支払われます。</t>
    <phoneticPr fontId="2"/>
  </si>
  <si>
    <t>研修実施分担金</t>
  </si>
  <si>
    <t>研修実施分担金</t>
    <phoneticPr fontId="2"/>
  </si>
  <si>
    <t>★★研修実施分担金</t>
  </si>
  <si>
    <t>技術協力活用型・新興国市場開拓事業（研修・専門家派遣事業）／一般企業（重点分野）</t>
    <rPh sb="30" eb="32">
      <t>イッパン</t>
    </rPh>
    <rPh sb="35" eb="37">
      <t>ジュウテン</t>
    </rPh>
    <rPh sb="37" eb="39">
      <t>ブンヤ</t>
    </rPh>
    <phoneticPr fontId="2"/>
  </si>
  <si>
    <t>★受入分担金</t>
  </si>
  <si>
    <t>（受入分担金）</t>
  </si>
  <si>
    <t>受入分担金</t>
  </si>
  <si>
    <t>※運営賛助金については、別途詳細をご説明します。 https://www.aots.jp/jp/ikusei/training/sanjo_dantai.html</t>
    <phoneticPr fontId="2"/>
  </si>
  <si>
    <t>（低炭素技術輸出促進人材育成支援事業の中堅・中小企業のみ補助対象）</t>
    <rPh sb="19" eb="21">
      <t>チュウケン</t>
    </rPh>
    <rPh sb="22" eb="24">
      <t>チュウショウ</t>
    </rPh>
    <rPh sb="24" eb="26">
      <t>キギョウ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</si>
</sst>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176" formatCode="#,##0_ "/>
    <numFmt numFmtId="177" formatCode="#,##0;[Red]#,##0"/>
    <numFmt numFmtId="178" formatCode="###&quot;日&quot;"/>
    <numFmt numFmtId="179" formatCode="#,##0_ ;[Red]\-#,##0\ "/>
    <numFmt numFmtId="180" formatCode="##&quot;日&quot;"/>
    <numFmt numFmtId="181" formatCode="0_);[Red]\(0\)"/>
    <numFmt numFmtId="182" formatCode="##&quot;回&quot;"/>
    <numFmt numFmtId="183" formatCode="[$-F800]dddd\,\ mmmm\ dd\,\ yyyy"/>
    <numFmt numFmtId="184" formatCode="General&quot;日&quot;"/>
    <numFmt numFmtId="185" formatCode="General&quot;月&quot;"/>
    <numFmt numFmtId="186" formatCode="&quot;～&quot;m/d"/>
    <numFmt numFmtId="187" formatCode="&quot;(&quot;m/d&quot;～)&quot;"/>
    <numFmt numFmtId="188" formatCode="&quot;(～&quot;m/d&quot;)&quot;"/>
    <numFmt numFmtId="189" formatCode="@&quot;～&quot;"/>
    <numFmt numFmtId="190" formatCode="yyyy/mm/dd"/>
    <numFmt numFmtId="191" formatCode="#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2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ck">
        <color indexed="12"/>
      </top>
      <bottom style="thick">
        <color indexed="12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medium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 style="double">
        <color indexed="64"/>
      </top>
      <bottom style="thick">
        <color indexed="12"/>
      </bottom>
      <diagonal/>
    </border>
    <border>
      <left/>
      <right/>
      <top style="double">
        <color indexed="64"/>
      </top>
      <bottom style="thick">
        <color indexed="12"/>
      </bottom>
      <diagonal/>
    </border>
    <border>
      <left/>
      <right style="medium">
        <color indexed="64"/>
      </right>
      <top style="double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12"/>
      </bottom>
      <diagonal/>
    </border>
    <border>
      <left/>
      <right/>
      <top style="thick">
        <color indexed="1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/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dashed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hair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hair">
        <color indexed="64"/>
      </bottom>
      <diagonal/>
    </border>
    <border>
      <left style="dashed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/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888">
    <xf numFmtId="0" fontId="0" fillId="0" borderId="0" xfId="0"/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Protection="1"/>
    <xf numFmtId="0" fontId="4" fillId="3" borderId="0" xfId="0" applyFont="1" applyFill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14" fontId="4" fillId="0" borderId="15" xfId="0" applyNumberFormat="1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29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horizontal="right" vertical="center"/>
    </xf>
    <xf numFmtId="41" fontId="4" fillId="0" borderId="31" xfId="0" applyNumberFormat="1" applyFont="1" applyFill="1" applyBorder="1" applyAlignment="1" applyProtection="1">
      <alignment horizontal="center" vertical="center"/>
    </xf>
    <xf numFmtId="14" fontId="4" fillId="0" borderId="32" xfId="0" applyNumberFormat="1" applyFont="1" applyFill="1" applyBorder="1" applyAlignment="1" applyProtection="1">
      <alignment vertical="center"/>
    </xf>
    <xf numFmtId="0" fontId="4" fillId="0" borderId="33" xfId="0" applyNumberFormat="1" applyFont="1" applyFill="1" applyBorder="1" applyAlignment="1" applyProtection="1">
      <alignment vertical="center"/>
    </xf>
    <xf numFmtId="0" fontId="4" fillId="0" borderId="32" xfId="0" applyNumberFormat="1" applyFont="1" applyFill="1" applyBorder="1" applyAlignment="1" applyProtection="1">
      <alignment vertical="center"/>
    </xf>
    <xf numFmtId="41" fontId="4" fillId="0" borderId="32" xfId="0" applyNumberFormat="1" applyFont="1" applyFill="1" applyBorder="1" applyAlignment="1" applyProtection="1">
      <alignment vertical="center"/>
    </xf>
    <xf numFmtId="41" fontId="4" fillId="0" borderId="16" xfId="0" applyNumberFormat="1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horizontal="right" vertical="center"/>
    </xf>
    <xf numFmtId="0" fontId="4" fillId="0" borderId="52" xfId="0" applyFont="1" applyFill="1" applyBorder="1" applyAlignment="1" applyProtection="1">
      <alignment horizontal="left" vertical="center" indent="1"/>
    </xf>
    <xf numFmtId="0" fontId="4" fillId="0" borderId="54" xfId="0" applyFont="1" applyFill="1" applyBorder="1" applyAlignment="1" applyProtection="1">
      <alignment horizontal="left" vertical="center" indent="1"/>
    </xf>
    <xf numFmtId="0" fontId="4" fillId="0" borderId="58" xfId="0" applyNumberFormat="1" applyFont="1" applyFill="1" applyBorder="1" applyAlignment="1" applyProtection="1">
      <alignment vertical="center"/>
    </xf>
    <xf numFmtId="14" fontId="4" fillId="0" borderId="56" xfId="0" applyNumberFormat="1" applyFont="1" applyFill="1" applyBorder="1" applyAlignment="1" applyProtection="1">
      <alignment vertical="center"/>
    </xf>
    <xf numFmtId="14" fontId="4" fillId="0" borderId="58" xfId="0" applyNumberFormat="1" applyFont="1" applyFill="1" applyBorder="1" applyAlignment="1" applyProtection="1">
      <alignment vertical="center"/>
    </xf>
    <xf numFmtId="0" fontId="4" fillId="3" borderId="60" xfId="0" applyFont="1" applyFill="1" applyBorder="1" applyAlignment="1" applyProtection="1">
      <alignment vertical="center"/>
    </xf>
    <xf numFmtId="0" fontId="4" fillId="0" borderId="62" xfId="0" applyFont="1" applyFill="1" applyBorder="1" applyAlignment="1" applyProtection="1">
      <alignment vertical="center"/>
    </xf>
    <xf numFmtId="0" fontId="4" fillId="0" borderId="63" xfId="0" applyFont="1" applyFill="1" applyBorder="1" applyAlignment="1" applyProtection="1">
      <alignment vertical="center"/>
    </xf>
    <xf numFmtId="0" fontId="4" fillId="0" borderId="66" xfId="0" applyFont="1" applyFill="1" applyBorder="1" applyAlignment="1" applyProtection="1">
      <alignment vertical="center"/>
    </xf>
    <xf numFmtId="0" fontId="4" fillId="0" borderId="67" xfId="0" applyFont="1" applyFill="1" applyBorder="1" applyAlignment="1" applyProtection="1">
      <alignment vertical="center"/>
    </xf>
    <xf numFmtId="41" fontId="4" fillId="0" borderId="7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7" xfId="2" applyFont="1" applyBorder="1" applyAlignment="1" applyProtection="1">
      <alignment horizontal="center" vertical="center"/>
    </xf>
    <xf numFmtId="38" fontId="4" fillId="0" borderId="34" xfId="1" applyFont="1" applyBorder="1" applyAlignment="1" applyProtection="1">
      <alignment vertical="center"/>
    </xf>
    <xf numFmtId="38" fontId="4" fillId="0" borderId="18" xfId="1" applyFont="1" applyBorder="1" applyAlignment="1" applyProtection="1">
      <alignment vertical="center"/>
    </xf>
    <xf numFmtId="0" fontId="4" fillId="0" borderId="205" xfId="0" applyFont="1" applyFill="1" applyBorder="1" applyAlignment="1" applyProtection="1">
      <alignment horizontal="center" vertical="center"/>
    </xf>
    <xf numFmtId="0" fontId="4" fillId="3" borderId="84" xfId="0" applyFont="1" applyFill="1" applyBorder="1" applyAlignment="1" applyProtection="1">
      <alignment horizontal="center" vertical="center"/>
    </xf>
    <xf numFmtId="179" fontId="4" fillId="2" borderId="0" xfId="1" applyNumberFormat="1" applyFont="1" applyFill="1" applyBorder="1" applyAlignment="1" applyProtection="1">
      <protection locked="0"/>
    </xf>
    <xf numFmtId="0" fontId="4" fillId="10" borderId="9" xfId="0" applyFont="1" applyFill="1" applyBorder="1" applyAlignment="1" applyProtection="1">
      <alignment vertical="center"/>
    </xf>
    <xf numFmtId="0" fontId="4" fillId="10" borderId="158" xfId="0" applyNumberFormat="1" applyFont="1" applyFill="1" applyBorder="1" applyAlignment="1" applyProtection="1">
      <alignment horizontal="center" vertical="center"/>
    </xf>
    <xf numFmtId="190" fontId="4" fillId="10" borderId="127" xfId="0" applyNumberFormat="1" applyFont="1" applyFill="1" applyBorder="1" applyAlignment="1" applyProtection="1">
      <alignment horizontal="center" vertical="center"/>
    </xf>
    <xf numFmtId="190" fontId="4" fillId="10" borderId="50" xfId="0" applyNumberFormat="1" applyFont="1" applyFill="1" applyBorder="1" applyAlignment="1" applyProtection="1">
      <alignment horizontal="center" vertical="center"/>
    </xf>
    <xf numFmtId="0" fontId="4" fillId="10" borderId="50" xfId="0" applyFont="1" applyFill="1" applyBorder="1" applyAlignment="1" applyProtection="1">
      <alignment horizontal="center" vertical="center"/>
    </xf>
    <xf numFmtId="181" fontId="4" fillId="10" borderId="10" xfId="0" applyNumberFormat="1" applyFont="1" applyFill="1" applyBorder="1" applyAlignment="1" applyProtection="1">
      <alignment vertical="center"/>
    </xf>
    <xf numFmtId="0" fontId="4" fillId="10" borderId="69" xfId="0" applyFont="1" applyFill="1" applyBorder="1" applyAlignment="1" applyProtection="1">
      <alignment vertical="center"/>
    </xf>
    <xf numFmtId="0" fontId="4" fillId="10" borderId="160" xfId="0" applyFont="1" applyFill="1" applyBorder="1" applyAlignment="1" applyProtection="1">
      <alignment horizontal="center" vertical="center"/>
    </xf>
    <xf numFmtId="190" fontId="4" fillId="10" borderId="176" xfId="0" applyNumberFormat="1" applyFont="1" applyFill="1" applyBorder="1" applyAlignment="1" applyProtection="1">
      <alignment horizontal="center" vertical="center"/>
    </xf>
    <xf numFmtId="190" fontId="4" fillId="10" borderId="70" xfId="0" applyNumberFormat="1" applyFont="1" applyFill="1" applyBorder="1" applyAlignment="1" applyProtection="1">
      <alignment horizontal="center" vertical="center"/>
    </xf>
    <xf numFmtId="0" fontId="4" fillId="10" borderId="70" xfId="0" applyFont="1" applyFill="1" applyBorder="1" applyAlignment="1" applyProtection="1">
      <alignment horizontal="center" vertical="center"/>
    </xf>
    <xf numFmtId="181" fontId="4" fillId="10" borderId="71" xfId="0" applyNumberFormat="1" applyFont="1" applyFill="1" applyBorder="1" applyAlignment="1" applyProtection="1">
      <alignment vertical="center"/>
    </xf>
    <xf numFmtId="0" fontId="4" fillId="10" borderId="14" xfId="0" applyFont="1" applyFill="1" applyBorder="1" applyAlignment="1" applyProtection="1">
      <alignment vertical="center"/>
    </xf>
    <xf numFmtId="0" fontId="4" fillId="10" borderId="28" xfId="0" applyFont="1" applyFill="1" applyBorder="1" applyAlignment="1" applyProtection="1">
      <alignment horizontal="center" vertical="center"/>
    </xf>
    <xf numFmtId="190" fontId="4" fillId="10" borderId="33" xfId="0" applyNumberFormat="1" applyFont="1" applyFill="1" applyBorder="1" applyAlignment="1" applyProtection="1">
      <alignment horizontal="center" vertical="center"/>
    </xf>
    <xf numFmtId="190" fontId="4" fillId="10" borderId="32" xfId="0" applyNumberFormat="1" applyFont="1" applyFill="1" applyBorder="1" applyAlignment="1" applyProtection="1">
      <alignment horizontal="center" vertical="center"/>
    </xf>
    <xf numFmtId="0" fontId="4" fillId="10" borderId="32" xfId="0" applyFont="1" applyFill="1" applyBorder="1" applyAlignment="1" applyProtection="1">
      <alignment horizontal="center" vertical="center"/>
    </xf>
    <xf numFmtId="181" fontId="4" fillId="10" borderId="16" xfId="0" applyNumberFormat="1" applyFont="1" applyFill="1" applyBorder="1" applyAlignment="1" applyProtection="1">
      <alignment vertical="center"/>
    </xf>
    <xf numFmtId="0" fontId="4" fillId="10" borderId="17" xfId="0" applyFont="1" applyFill="1" applyBorder="1" applyAlignment="1" applyProtection="1">
      <alignment vertical="center"/>
    </xf>
    <xf numFmtId="190" fontId="4" fillId="10" borderId="38" xfId="0" applyNumberFormat="1" applyFont="1" applyFill="1" applyBorder="1" applyAlignment="1" applyProtection="1">
      <alignment horizontal="center" vertical="center"/>
    </xf>
    <xf numFmtId="0" fontId="4" fillId="10" borderId="38" xfId="0" applyFont="1" applyFill="1" applyBorder="1" applyAlignment="1" applyProtection="1">
      <alignment horizontal="center" vertical="center"/>
    </xf>
    <xf numFmtId="181" fontId="4" fillId="10" borderId="18" xfId="0" applyNumberFormat="1" applyFont="1" applyFill="1" applyBorder="1" applyAlignment="1" applyProtection="1">
      <alignment vertical="center"/>
    </xf>
    <xf numFmtId="0" fontId="4" fillId="10" borderId="55" xfId="0" applyFont="1" applyFill="1" applyBorder="1" applyProtection="1"/>
    <xf numFmtId="0" fontId="4" fillId="10" borderId="59" xfId="0" applyFont="1" applyFill="1" applyBorder="1" applyAlignment="1" applyProtection="1">
      <alignment horizontal="right" vertical="center"/>
    </xf>
    <xf numFmtId="0" fontId="4" fillId="10" borderId="61" xfId="0" applyFont="1" applyFill="1" applyBorder="1" applyAlignment="1" applyProtection="1">
      <alignment vertical="center"/>
    </xf>
    <xf numFmtId="0" fontId="4" fillId="0" borderId="55" xfId="0" applyFont="1" applyFill="1" applyBorder="1" applyAlignment="1" applyProtection="1">
      <alignment vertical="center"/>
    </xf>
    <xf numFmtId="14" fontId="4" fillId="0" borderId="59" xfId="0" applyNumberFormat="1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14" fontId="4" fillId="0" borderId="20" xfId="0" applyNumberFormat="1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right" vertical="center"/>
    </xf>
    <xf numFmtId="0" fontId="4" fillId="0" borderId="68" xfId="0" applyFont="1" applyFill="1" applyBorder="1" applyAlignment="1" applyProtection="1">
      <alignment horizontal="left" vertical="center"/>
    </xf>
    <xf numFmtId="0" fontId="4" fillId="0" borderId="53" xfId="0" applyFont="1" applyFill="1" applyBorder="1" applyAlignment="1" applyProtection="1">
      <alignment horizontal="left" vertical="center" indent="1"/>
    </xf>
    <xf numFmtId="0" fontId="4" fillId="0" borderId="57" xfId="0" applyNumberFormat="1" applyFont="1" applyFill="1" applyBorder="1" applyAlignment="1" applyProtection="1">
      <alignment vertical="center"/>
    </xf>
    <xf numFmtId="0" fontId="4" fillId="0" borderId="64" xfId="0" applyFont="1" applyFill="1" applyBorder="1" applyAlignment="1" applyProtection="1">
      <alignment vertical="center"/>
    </xf>
    <xf numFmtId="0" fontId="4" fillId="0" borderId="6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14" fontId="4" fillId="0" borderId="7" xfId="0" applyNumberFormat="1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right" vertical="center"/>
    </xf>
    <xf numFmtId="0" fontId="4" fillId="0" borderId="51" xfId="0" applyFont="1" applyFill="1" applyBorder="1" applyAlignment="1" applyProtection="1">
      <alignment horizontal="left" vertical="center"/>
    </xf>
    <xf numFmtId="181" fontId="4" fillId="0" borderId="10" xfId="0" applyNumberFormat="1" applyFont="1" applyFill="1" applyBorder="1" applyAlignment="1" applyProtection="1">
      <alignment vertical="center"/>
    </xf>
    <xf numFmtId="181" fontId="4" fillId="0" borderId="18" xfId="0" applyNumberFormat="1" applyFont="1" applyFill="1" applyBorder="1" applyAlignment="1" applyProtection="1">
      <alignment vertical="center"/>
    </xf>
    <xf numFmtId="0" fontId="4" fillId="0" borderId="74" xfId="0" applyFont="1" applyFill="1" applyBorder="1" applyAlignment="1" applyProtection="1">
      <alignment horizontal="right" vertical="center"/>
    </xf>
    <xf numFmtId="41" fontId="4" fillId="0" borderId="35" xfId="0" applyNumberFormat="1" applyFont="1" applyFill="1" applyBorder="1" applyAlignment="1" applyProtection="1">
      <alignment horizontal="right" vertical="center"/>
    </xf>
    <xf numFmtId="0" fontId="4" fillId="0" borderId="83" xfId="0" applyFont="1" applyFill="1" applyBorder="1" applyAlignment="1" applyProtection="1">
      <alignment vertical="center"/>
    </xf>
    <xf numFmtId="0" fontId="4" fillId="0" borderId="8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38" fontId="4" fillId="0" borderId="22" xfId="1" applyFont="1" applyFill="1" applyBorder="1" applyAlignment="1" applyProtection="1">
      <alignment vertical="center"/>
    </xf>
    <xf numFmtId="38" fontId="4" fillId="0" borderId="8" xfId="1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horizontal="right" vertical="center"/>
    </xf>
    <xf numFmtId="0" fontId="4" fillId="0" borderId="23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horizontal="right" vertical="center"/>
    </xf>
    <xf numFmtId="41" fontId="4" fillId="0" borderId="25" xfId="0" applyNumberFormat="1" applyFont="1" applyFill="1" applyBorder="1" applyAlignment="1" applyProtection="1">
      <alignment horizontal="center" vertical="center"/>
    </xf>
    <xf numFmtId="14" fontId="4" fillId="0" borderId="26" xfId="0" applyNumberFormat="1" applyFont="1" applyFill="1" applyBorder="1" applyAlignment="1" applyProtection="1">
      <alignment vertical="center"/>
    </xf>
    <xf numFmtId="0" fontId="4" fillId="0" borderId="27" xfId="0" applyNumberFormat="1" applyFont="1" applyFill="1" applyBorder="1" applyAlignment="1" applyProtection="1">
      <alignment vertical="center"/>
    </xf>
    <xf numFmtId="0" fontId="4" fillId="0" borderId="26" xfId="0" applyNumberFormat="1" applyFont="1" applyFill="1" applyBorder="1" applyAlignment="1" applyProtection="1">
      <alignment vertical="center"/>
    </xf>
    <xf numFmtId="41" fontId="4" fillId="0" borderId="26" xfId="0" applyNumberFormat="1" applyFont="1" applyFill="1" applyBorder="1" applyAlignment="1" applyProtection="1">
      <alignment vertical="center"/>
    </xf>
    <xf numFmtId="41" fontId="4" fillId="0" borderId="8" xfId="0" applyNumberFormat="1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horizontal="right" vertical="center"/>
    </xf>
    <xf numFmtId="0" fontId="4" fillId="0" borderId="35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horizontal="right" vertical="center"/>
    </xf>
    <xf numFmtId="41" fontId="4" fillId="0" borderId="37" xfId="0" applyNumberFormat="1" applyFont="1" applyFill="1" applyBorder="1" applyAlignment="1" applyProtection="1">
      <alignment horizontal="center" vertical="center"/>
    </xf>
    <xf numFmtId="14" fontId="4" fillId="0" borderId="38" xfId="0" applyNumberFormat="1" applyFont="1" applyFill="1" applyBorder="1" applyAlignment="1" applyProtection="1">
      <alignment vertical="center"/>
    </xf>
    <xf numFmtId="0" fontId="4" fillId="0" borderId="39" xfId="0" applyNumberFormat="1" applyFont="1" applyFill="1" applyBorder="1" applyAlignment="1" applyProtection="1">
      <alignment vertical="center"/>
    </xf>
    <xf numFmtId="0" fontId="4" fillId="0" borderId="38" xfId="0" applyNumberFormat="1" applyFont="1" applyFill="1" applyBorder="1" applyAlignment="1" applyProtection="1">
      <alignment vertical="center"/>
    </xf>
    <xf numFmtId="41" fontId="4" fillId="0" borderId="38" xfId="0" applyNumberFormat="1" applyFont="1" applyFill="1" applyBorder="1" applyAlignment="1" applyProtection="1">
      <alignment vertical="center"/>
    </xf>
    <xf numFmtId="41" fontId="4" fillId="0" borderId="18" xfId="0" applyNumberFormat="1" applyFont="1" applyFill="1" applyBorder="1" applyAlignment="1" applyProtection="1">
      <alignment vertical="center"/>
    </xf>
    <xf numFmtId="181" fontId="4" fillId="0" borderId="11" xfId="0" applyNumberFormat="1" applyFont="1" applyFill="1" applyBorder="1" applyAlignment="1" applyProtection="1">
      <alignment vertical="center"/>
    </xf>
    <xf numFmtId="12" fontId="4" fillId="0" borderId="158" xfId="0" applyNumberFormat="1" applyFont="1" applyFill="1" applyBorder="1" applyAlignment="1" applyProtection="1">
      <alignment vertical="center"/>
    </xf>
    <xf numFmtId="12" fontId="4" fillId="0" borderId="10" xfId="0" applyNumberFormat="1" applyFont="1" applyFill="1" applyBorder="1" applyAlignment="1" applyProtection="1">
      <alignment vertical="center"/>
    </xf>
    <xf numFmtId="12" fontId="4" fillId="0" borderId="34" xfId="0" applyNumberFormat="1" applyFont="1" applyFill="1" applyBorder="1" applyAlignment="1" applyProtection="1">
      <alignment vertical="center"/>
    </xf>
    <xf numFmtId="12" fontId="4" fillId="0" borderId="18" xfId="0" applyNumberFormat="1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14" xfId="0" applyNumberFormat="1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12" fontId="4" fillId="0" borderId="28" xfId="0" applyNumberFormat="1" applyFont="1" applyFill="1" applyBorder="1" applyAlignment="1" applyProtection="1">
      <alignment vertical="center"/>
    </xf>
    <xf numFmtId="12" fontId="4" fillId="0" borderId="16" xfId="0" applyNumberFormat="1" applyFont="1" applyFill="1" applyBorder="1" applyAlignment="1" applyProtection="1">
      <alignment vertical="center"/>
    </xf>
    <xf numFmtId="181" fontId="4" fillId="0" borderId="15" xfId="0" applyNumberFormat="1" applyFont="1" applyFill="1" applyBorder="1" applyAlignment="1" applyProtection="1">
      <alignment vertical="center"/>
    </xf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17" xfId="0" applyFont="1" applyBorder="1" applyProtection="1"/>
    <xf numFmtId="0" fontId="4" fillId="0" borderId="20" xfId="0" applyFont="1" applyBorder="1" applyProtection="1"/>
    <xf numFmtId="41" fontId="4" fillId="0" borderId="9" xfId="0" applyNumberFormat="1" applyFont="1" applyBorder="1" applyProtection="1"/>
    <xf numFmtId="41" fontId="4" fillId="0" borderId="14" xfId="0" applyNumberFormat="1" applyFont="1" applyBorder="1" applyProtection="1"/>
    <xf numFmtId="41" fontId="4" fillId="0" borderId="17" xfId="0" applyNumberFormat="1" applyFont="1" applyBorder="1" applyProtection="1"/>
    <xf numFmtId="0" fontId="4" fillId="0" borderId="87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41" fontId="4" fillId="0" borderId="68" xfId="0" applyNumberFormat="1" applyFont="1" applyBorder="1" applyAlignment="1" applyProtection="1">
      <alignment vertical="center"/>
    </xf>
    <xf numFmtId="0" fontId="4" fillId="0" borderId="49" xfId="0" applyFont="1" applyFill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center"/>
    </xf>
    <xf numFmtId="0" fontId="4" fillId="0" borderId="159" xfId="0" applyFont="1" applyFill="1" applyBorder="1" applyAlignment="1" applyProtection="1">
      <alignment vertical="center"/>
    </xf>
    <xf numFmtId="0" fontId="4" fillId="0" borderId="69" xfId="0" applyFont="1" applyFill="1" applyBorder="1" applyAlignment="1" applyProtection="1">
      <alignment vertical="center"/>
    </xf>
    <xf numFmtId="0" fontId="10" fillId="11" borderId="1" xfId="0" applyFont="1" applyFill="1" applyBorder="1" applyAlignment="1" applyProtection="1">
      <alignment horizontal="center" vertical="center"/>
    </xf>
    <xf numFmtId="0" fontId="10" fillId="11" borderId="2" xfId="0" applyFont="1" applyFill="1" applyBorder="1" applyAlignment="1" applyProtection="1">
      <alignment horizontal="center" vertical="center"/>
    </xf>
    <xf numFmtId="0" fontId="23" fillId="11" borderId="145" xfId="0" applyFont="1" applyFill="1" applyBorder="1" applyAlignment="1" applyProtection="1">
      <alignment vertical="center"/>
    </xf>
    <xf numFmtId="0" fontId="23" fillId="11" borderId="134" xfId="0" applyFont="1" applyFill="1" applyBorder="1" applyAlignment="1" applyProtection="1">
      <alignment vertical="center"/>
    </xf>
    <xf numFmtId="0" fontId="23" fillId="11" borderId="43" xfId="0" applyFont="1" applyFill="1" applyBorder="1" applyAlignment="1" applyProtection="1">
      <alignment vertical="center"/>
    </xf>
    <xf numFmtId="0" fontId="23" fillId="11" borderId="82" xfId="0" applyFont="1" applyFill="1" applyBorder="1" applyAlignment="1" applyProtection="1">
      <alignment vertical="center"/>
    </xf>
    <xf numFmtId="0" fontId="10" fillId="11" borderId="156" xfId="0" applyFont="1" applyFill="1" applyBorder="1" applyAlignment="1" applyProtection="1">
      <alignment horizontal="center" vertical="center"/>
    </xf>
    <xf numFmtId="0" fontId="10" fillId="11" borderId="5" xfId="0" applyFont="1" applyFill="1" applyBorder="1" applyAlignment="1" applyProtection="1">
      <alignment horizontal="center" vertical="center"/>
    </xf>
    <xf numFmtId="0" fontId="10" fillId="11" borderId="73" xfId="0" applyFont="1" applyFill="1" applyBorder="1" applyAlignment="1" applyProtection="1">
      <alignment horizontal="center" vertical="center"/>
    </xf>
    <xf numFmtId="0" fontId="10" fillId="11" borderId="4" xfId="0" applyFont="1" applyFill="1" applyBorder="1" applyAlignment="1" applyProtection="1">
      <alignment horizontal="center" vertical="center"/>
    </xf>
    <xf numFmtId="0" fontId="10" fillId="11" borderId="3" xfId="0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vertical="center"/>
    </xf>
    <xf numFmtId="0" fontId="4" fillId="0" borderId="69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23" fillId="11" borderId="49" xfId="0" applyFont="1" applyFill="1" applyBorder="1" applyAlignment="1" applyProtection="1">
      <alignment vertical="center"/>
    </xf>
    <xf numFmtId="41" fontId="4" fillId="0" borderId="189" xfId="0" applyNumberFormat="1" applyFont="1" applyFill="1" applyBorder="1" applyAlignment="1" applyProtection="1">
      <alignment vertical="center"/>
    </xf>
    <xf numFmtId="41" fontId="4" fillId="0" borderId="104" xfId="0" applyNumberFormat="1" applyFont="1" applyFill="1" applyBorder="1" applyAlignment="1" applyProtection="1">
      <alignment vertical="center"/>
    </xf>
    <xf numFmtId="190" fontId="4" fillId="0" borderId="0" xfId="0" applyNumberFormat="1" applyFont="1" applyProtection="1"/>
    <xf numFmtId="0" fontId="4" fillId="0" borderId="0" xfId="0" applyNumberFormat="1" applyFont="1" applyProtection="1"/>
    <xf numFmtId="0" fontId="23" fillId="13" borderId="4" xfId="0" applyFont="1" applyFill="1" applyBorder="1" applyAlignment="1" applyProtection="1">
      <alignment horizontal="center" vertical="center"/>
    </xf>
    <xf numFmtId="0" fontId="23" fillId="13" borderId="232" xfId="0" applyFont="1" applyFill="1" applyBorder="1" applyAlignment="1" applyProtection="1">
      <alignment horizontal="center" vertical="center"/>
    </xf>
    <xf numFmtId="0" fontId="23" fillId="13" borderId="3" xfId="0" applyFont="1" applyFill="1" applyBorder="1" applyAlignment="1" applyProtection="1">
      <alignment horizontal="center" vertical="center"/>
    </xf>
    <xf numFmtId="190" fontId="4" fillId="0" borderId="0" xfId="0" applyNumberFormat="1" applyFont="1" applyAlignment="1" applyProtection="1">
      <alignment vertical="center"/>
    </xf>
    <xf numFmtId="0" fontId="4" fillId="0" borderId="22" xfId="0" applyNumberFormat="1" applyFont="1" applyFill="1" applyBorder="1" applyAlignment="1" applyProtection="1">
      <alignment horizontal="right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34" xfId="0" applyNumberFormat="1" applyFont="1" applyFill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horizontal="center" vertical="center"/>
    </xf>
    <xf numFmtId="0" fontId="4" fillId="14" borderId="134" xfId="0" applyFont="1" applyFill="1" applyBorder="1" applyAlignment="1" applyProtection="1">
      <alignment vertical="center"/>
    </xf>
    <xf numFmtId="14" fontId="4" fillId="14" borderId="0" xfId="0" applyNumberFormat="1" applyFont="1" applyFill="1" applyBorder="1" applyAlignment="1" applyProtection="1">
      <alignment vertical="center"/>
    </xf>
    <xf numFmtId="0" fontId="4" fillId="14" borderId="48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/>
    <xf numFmtId="0" fontId="12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/>
    </xf>
    <xf numFmtId="0" fontId="0" fillId="0" borderId="0" xfId="0" applyFont="1" applyBorder="1" applyProtection="1"/>
    <xf numFmtId="179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indent="1"/>
    </xf>
    <xf numFmtId="0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5" xfId="0" applyFont="1" applyBorder="1" applyAlignment="1" applyProtection="1">
      <alignment vertical="center"/>
    </xf>
    <xf numFmtId="0" fontId="0" fillId="0" borderId="176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/>
    </xf>
    <xf numFmtId="183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0" fillId="0" borderId="12" xfId="0" applyFont="1" applyBorder="1" applyAlignment="1" applyProtection="1">
      <alignment vertical="center"/>
    </xf>
    <xf numFmtId="0" fontId="0" fillId="0" borderId="127" xfId="0" applyFont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left" vertical="center" indent="2"/>
    </xf>
    <xf numFmtId="0" fontId="12" fillId="2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5" fillId="4" borderId="82" xfId="0" applyFont="1" applyFill="1" applyBorder="1" applyAlignment="1" applyProtection="1">
      <alignment horizontal="right" vertical="center" wrapText="1"/>
    </xf>
    <xf numFmtId="12" fontId="15" fillId="4" borderId="173" xfId="0" applyNumberFormat="1" applyFont="1" applyFill="1" applyBorder="1" applyAlignment="1" applyProtection="1">
      <alignment horizontal="left" vertical="center"/>
    </xf>
    <xf numFmtId="0" fontId="15" fillId="4" borderId="84" xfId="0" applyFont="1" applyFill="1" applyBorder="1" applyAlignment="1" applyProtection="1">
      <alignment horizontal="right" vertical="center"/>
    </xf>
    <xf numFmtId="12" fontId="15" fillId="4" borderId="85" xfId="0" applyNumberFormat="1" applyFont="1" applyFill="1" applyBorder="1" applyAlignment="1" applyProtection="1">
      <alignment horizontal="left" vertical="center"/>
    </xf>
    <xf numFmtId="0" fontId="0" fillId="0" borderId="47" xfId="0" applyFont="1" applyBorder="1" applyAlignment="1" applyProtection="1">
      <alignment vertical="center"/>
    </xf>
    <xf numFmtId="179" fontId="0" fillId="0" borderId="211" xfId="1" applyNumberFormat="1" applyFont="1" applyBorder="1" applyAlignment="1" applyProtection="1">
      <alignment vertical="center"/>
    </xf>
    <xf numFmtId="179" fontId="0" fillId="0" borderId="211" xfId="0" applyNumberFormat="1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left" vertical="center"/>
    </xf>
    <xf numFmtId="179" fontId="0" fillId="0" borderId="127" xfId="1" applyNumberFormat="1" applyFont="1" applyBorder="1" applyAlignment="1" applyProtection="1">
      <alignment vertical="center"/>
    </xf>
    <xf numFmtId="179" fontId="0" fillId="0" borderId="50" xfId="0" applyNumberFormat="1" applyFont="1" applyBorder="1" applyAlignment="1" applyProtection="1">
      <alignment vertical="center"/>
    </xf>
    <xf numFmtId="179" fontId="0" fillId="0" borderId="13" xfId="0" applyNumberFormat="1" applyFont="1" applyFill="1" applyBorder="1" applyAlignment="1" applyProtection="1">
      <alignment vertical="center"/>
    </xf>
    <xf numFmtId="179" fontId="0" fillId="0" borderId="253" xfId="1" applyNumberFormat="1" applyFont="1" applyBorder="1" applyAlignment="1" applyProtection="1">
      <alignment vertical="center"/>
    </xf>
    <xf numFmtId="179" fontId="0" fillId="0" borderId="254" xfId="0" applyNumberFormat="1" applyFont="1" applyBorder="1" applyAlignment="1" applyProtection="1">
      <alignment vertical="center"/>
    </xf>
    <xf numFmtId="179" fontId="0" fillId="0" borderId="255" xfId="0" applyNumberFormat="1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horizontal="right" vertical="center"/>
    </xf>
    <xf numFmtId="179" fontId="0" fillId="0" borderId="176" xfId="1" applyNumberFormat="1" applyFont="1" applyBorder="1" applyAlignment="1" applyProtection="1">
      <alignment vertical="center"/>
    </xf>
    <xf numFmtId="179" fontId="0" fillId="0" borderId="70" xfId="0" applyNumberFormat="1" applyFont="1" applyBorder="1" applyAlignment="1" applyProtection="1">
      <alignment vertical="center"/>
    </xf>
    <xf numFmtId="179" fontId="0" fillId="0" borderId="46" xfId="0" applyNumberFormat="1" applyFont="1" applyFill="1" applyBorder="1" applyAlignment="1" applyProtection="1">
      <alignment vertical="center"/>
    </xf>
    <xf numFmtId="0" fontId="0" fillId="0" borderId="159" xfId="0" applyFont="1" applyFill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179" fontId="0" fillId="0" borderId="38" xfId="1" applyNumberFormat="1" applyFont="1" applyBorder="1" applyAlignment="1" applyProtection="1">
      <alignment horizontal="right" vertical="center" indent="1"/>
    </xf>
    <xf numFmtId="179" fontId="0" fillId="0" borderId="38" xfId="0" applyNumberFormat="1" applyFont="1" applyBorder="1" applyAlignment="1" applyProtection="1">
      <alignment horizontal="right" vertical="center" indent="1"/>
    </xf>
    <xf numFmtId="179" fontId="0" fillId="0" borderId="68" xfId="0" applyNumberFormat="1" applyFont="1" applyFill="1" applyBorder="1" applyAlignment="1" applyProtection="1">
      <alignment vertical="center"/>
    </xf>
    <xf numFmtId="177" fontId="3" fillId="0" borderId="171" xfId="0" applyNumberFormat="1" applyFont="1" applyFill="1" applyBorder="1" applyAlignment="1" applyProtection="1">
      <alignment vertical="center"/>
    </xf>
    <xf numFmtId="0" fontId="0" fillId="0" borderId="0" xfId="0" applyFont="1" applyProtection="1"/>
    <xf numFmtId="0" fontId="4" fillId="0" borderId="143" xfId="0" applyFont="1" applyFill="1" applyBorder="1" applyAlignment="1" applyProtection="1"/>
    <xf numFmtId="0" fontId="3" fillId="0" borderId="143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/>
    </xf>
    <xf numFmtId="0" fontId="0" fillId="0" borderId="0" xfId="1" applyNumberFormat="1" applyFont="1" applyFill="1" applyBorder="1" applyAlignment="1" applyProtection="1">
      <alignment vertical="center"/>
    </xf>
    <xf numFmtId="0" fontId="15" fillId="4" borderId="189" xfId="0" applyFont="1" applyFill="1" applyBorder="1" applyAlignment="1" applyProtection="1">
      <alignment horizontal="center" vertical="center"/>
    </xf>
    <xf numFmtId="177" fontId="16" fillId="4" borderId="104" xfId="0" applyNumberFormat="1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vertical="center"/>
    </xf>
    <xf numFmtId="179" fontId="0" fillId="5" borderId="10" xfId="0" applyNumberFormat="1" applyFont="1" applyFill="1" applyBorder="1" applyAlignment="1" applyProtection="1">
      <alignment vertical="center"/>
    </xf>
    <xf numFmtId="179" fontId="1" fillId="0" borderId="50" xfId="1" applyNumberFormat="1" applyFont="1" applyBorder="1" applyAlignment="1" applyProtection="1">
      <alignment vertical="center"/>
    </xf>
    <xf numFmtId="182" fontId="0" fillId="0" borderId="50" xfId="0" applyNumberFormat="1" applyFont="1" applyBorder="1" applyAlignment="1" applyProtection="1">
      <alignment vertical="center"/>
    </xf>
    <xf numFmtId="179" fontId="0" fillId="5" borderId="16" xfId="0" applyNumberFormat="1" applyFont="1" applyFill="1" applyBorder="1" applyAlignment="1" applyProtection="1">
      <alignment vertical="center"/>
    </xf>
    <xf numFmtId="0" fontId="14" fillId="0" borderId="172" xfId="0" applyFont="1" applyBorder="1" applyAlignment="1" applyProtection="1">
      <alignment vertical="center"/>
    </xf>
    <xf numFmtId="38" fontId="14" fillId="0" borderId="174" xfId="1" applyFont="1" applyBorder="1" applyAlignment="1" applyProtection="1">
      <alignment vertical="center"/>
    </xf>
    <xf numFmtId="178" fontId="14" fillId="0" borderId="174" xfId="0" applyNumberFormat="1" applyFont="1" applyBorder="1" applyAlignment="1" applyProtection="1">
      <alignment vertical="center"/>
    </xf>
    <xf numFmtId="179" fontId="14" fillId="5" borderId="169" xfId="0" applyNumberFormat="1" applyFont="1" applyFill="1" applyBorder="1" applyAlignment="1" applyProtection="1">
      <alignment vertical="center"/>
    </xf>
    <xf numFmtId="179" fontId="3" fillId="5" borderId="171" xfId="1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0" fillId="0" borderId="0" xfId="0" applyNumberFormat="1" applyFont="1" applyAlignment="1" applyProtection="1">
      <alignment vertical="center"/>
    </xf>
    <xf numFmtId="0" fontId="0" fillId="0" borderId="84" xfId="0" applyFont="1" applyBorder="1" applyAlignment="1" applyProtection="1">
      <alignment vertical="center"/>
    </xf>
    <xf numFmtId="179" fontId="0" fillId="0" borderId="173" xfId="1" applyNumberFormat="1" applyFont="1" applyBorder="1" applyAlignment="1" applyProtection="1">
      <alignment vertical="center"/>
    </xf>
    <xf numFmtId="184" fontId="0" fillId="0" borderId="174" xfId="0" applyNumberFormat="1" applyFont="1" applyBorder="1" applyAlignment="1" applyProtection="1">
      <alignment vertical="center"/>
    </xf>
    <xf numFmtId="179" fontId="0" fillId="5" borderId="85" xfId="0" applyNumberFormat="1" applyFont="1" applyFill="1" applyBorder="1" applyAlignment="1" applyProtection="1">
      <alignment vertical="center"/>
    </xf>
    <xf numFmtId="179" fontId="3" fillId="5" borderId="104" xfId="1" applyNumberFormat="1" applyFont="1" applyFill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21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84" xfId="0" applyFont="1" applyBorder="1" applyAlignment="1" applyProtection="1">
      <alignment vertical="center"/>
    </xf>
    <xf numFmtId="0" fontId="10" fillId="11" borderId="72" xfId="0" applyFont="1" applyFill="1" applyBorder="1" applyAlignment="1" applyProtection="1">
      <alignment horizontal="center" vertical="center"/>
    </xf>
    <xf numFmtId="0" fontId="10" fillId="11" borderId="157" xfId="0" applyFont="1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14" fontId="4" fillId="0" borderId="0" xfId="0" applyNumberFormat="1" applyFont="1" applyBorder="1" applyAlignment="1" applyProtection="1">
      <alignment vertical="center"/>
    </xf>
    <xf numFmtId="0" fontId="5" fillId="0" borderId="87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90" xfId="1" applyNumberFormat="1" applyFont="1" applyFill="1" applyBorder="1" applyAlignment="1" applyProtection="1">
      <alignment horizontal="center" vertical="center"/>
    </xf>
    <xf numFmtId="0" fontId="4" fillId="0" borderId="91" xfId="0" applyNumberFormat="1" applyFont="1" applyFill="1" applyBorder="1" applyAlignment="1" applyProtection="1">
      <alignment vertical="center"/>
    </xf>
    <xf numFmtId="0" fontId="4" fillId="0" borderId="92" xfId="0" applyNumberFormat="1" applyFont="1" applyFill="1" applyBorder="1" applyAlignment="1" applyProtection="1">
      <alignment vertical="center"/>
    </xf>
    <xf numFmtId="0" fontId="4" fillId="0" borderId="93" xfId="0" applyNumberFormat="1" applyFont="1" applyFill="1" applyBorder="1" applyAlignment="1" applyProtection="1">
      <alignment vertical="center"/>
    </xf>
    <xf numFmtId="0" fontId="4" fillId="0" borderId="94" xfId="0" applyNumberFormat="1" applyFont="1" applyFill="1" applyBorder="1" applyAlignment="1" applyProtection="1">
      <alignment vertical="center"/>
    </xf>
    <xf numFmtId="184" fontId="4" fillId="0" borderId="94" xfId="0" applyNumberFormat="1" applyFont="1" applyBorder="1" applyAlignment="1" applyProtection="1">
      <alignment vertical="center"/>
    </xf>
    <xf numFmtId="0" fontId="4" fillId="0" borderId="95" xfId="1" applyNumberFormat="1" applyFont="1" applyFill="1" applyBorder="1" applyAlignment="1" applyProtection="1">
      <alignment horizontal="center" vertical="center"/>
    </xf>
    <xf numFmtId="0" fontId="4" fillId="0" borderId="96" xfId="0" applyNumberFormat="1" applyFont="1" applyFill="1" applyBorder="1" applyAlignment="1" applyProtection="1">
      <alignment vertical="center"/>
    </xf>
    <xf numFmtId="0" fontId="4" fillId="0" borderId="97" xfId="0" applyFont="1" applyFill="1" applyBorder="1" applyAlignment="1" applyProtection="1">
      <alignment vertical="center"/>
    </xf>
    <xf numFmtId="0" fontId="4" fillId="0" borderId="98" xfId="0" applyNumberFormat="1" applyFont="1" applyFill="1" applyBorder="1" applyAlignment="1" applyProtection="1">
      <alignment vertical="center"/>
    </xf>
    <xf numFmtId="0" fontId="4" fillId="0" borderId="99" xfId="0" applyFont="1" applyFill="1" applyBorder="1" applyAlignment="1" applyProtection="1">
      <alignment vertical="center"/>
    </xf>
    <xf numFmtId="184" fontId="4" fillId="0" borderId="99" xfId="0" applyNumberFormat="1" applyFont="1" applyBorder="1" applyAlignment="1" applyProtection="1">
      <alignment vertical="center"/>
    </xf>
    <xf numFmtId="0" fontId="10" fillId="4" borderId="100" xfId="1" applyNumberFormat="1" applyFont="1" applyFill="1" applyBorder="1" applyAlignment="1" applyProtection="1">
      <alignment horizontal="center" vertical="center"/>
    </xf>
    <xf numFmtId="41" fontId="10" fillId="4" borderId="41" xfId="0" applyNumberFormat="1" applyFont="1" applyFill="1" applyBorder="1" applyAlignment="1" applyProtection="1">
      <alignment horizontal="center" vertical="center"/>
    </xf>
    <xf numFmtId="41" fontId="10" fillId="4" borderId="101" xfId="0" applyNumberFormat="1" applyFont="1" applyFill="1" applyBorder="1" applyAlignment="1" applyProtection="1">
      <alignment horizontal="center" vertical="center"/>
    </xf>
    <xf numFmtId="41" fontId="10" fillId="4" borderId="102" xfId="0" applyNumberFormat="1" applyFont="1" applyFill="1" applyBorder="1" applyAlignment="1" applyProtection="1">
      <alignment horizontal="center" vertical="center"/>
    </xf>
    <xf numFmtId="41" fontId="10" fillId="4" borderId="103" xfId="0" applyNumberFormat="1" applyFont="1" applyFill="1" applyBorder="1" applyAlignment="1" applyProtection="1">
      <alignment horizontal="center" vertical="center"/>
    </xf>
    <xf numFmtId="0" fontId="4" fillId="0" borderId="104" xfId="0" applyFont="1" applyBorder="1" applyAlignment="1" applyProtection="1">
      <alignment horizontal="center" vertical="center"/>
    </xf>
    <xf numFmtId="0" fontId="4" fillId="0" borderId="106" xfId="0" applyFont="1" applyBorder="1" applyAlignment="1" applyProtection="1">
      <alignment vertical="center"/>
    </xf>
    <xf numFmtId="184" fontId="4" fillId="0" borderId="238" xfId="0" applyNumberFormat="1" applyFont="1" applyBorder="1" applyAlignment="1" applyProtection="1">
      <alignment horizontal="right" vertical="center"/>
    </xf>
    <xf numFmtId="0" fontId="7" fillId="0" borderId="238" xfId="0" applyFont="1" applyBorder="1" applyAlignment="1" applyProtection="1">
      <alignment vertical="center"/>
    </xf>
    <xf numFmtId="184" fontId="0" fillId="0" borderId="0" xfId="0" applyNumberFormat="1" applyFont="1" applyAlignment="1" applyProtection="1">
      <alignment vertical="center"/>
    </xf>
    <xf numFmtId="0" fontId="4" fillId="0" borderId="121" xfId="0" applyFont="1" applyBorder="1" applyAlignment="1" applyProtection="1">
      <alignment vertical="center"/>
    </xf>
    <xf numFmtId="0" fontId="4" fillId="0" borderId="122" xfId="0" applyFont="1" applyBorder="1" applyAlignment="1" applyProtection="1">
      <alignment vertical="center"/>
    </xf>
    <xf numFmtId="0" fontId="7" fillId="0" borderId="133" xfId="0" applyFont="1" applyBorder="1" applyAlignment="1" applyProtection="1">
      <alignment vertical="center" wrapText="1"/>
    </xf>
    <xf numFmtId="179" fontId="4" fillId="5" borderId="123" xfId="1" applyNumberFormat="1" applyFont="1" applyFill="1" applyBorder="1" applyAlignment="1" applyProtection="1">
      <alignment horizontal="right" vertical="center"/>
    </xf>
    <xf numFmtId="184" fontId="4" fillId="0" borderId="121" xfId="0" applyNumberFormat="1" applyFont="1" applyBorder="1" applyAlignment="1" applyProtection="1">
      <alignment horizontal="right" vertical="center"/>
    </xf>
    <xf numFmtId="179" fontId="4" fillId="0" borderId="124" xfId="0" applyNumberFormat="1" applyFont="1" applyBorder="1" applyAlignment="1" applyProtection="1">
      <alignment horizontal="right" vertical="center"/>
    </xf>
    <xf numFmtId="179" fontId="4" fillId="0" borderId="125" xfId="0" applyNumberFormat="1" applyFont="1" applyBorder="1" applyAlignment="1" applyProtection="1">
      <alignment horizontal="right" vertical="center"/>
    </xf>
    <xf numFmtId="179" fontId="4" fillId="0" borderId="123" xfId="0" applyNumberFormat="1" applyFont="1" applyFill="1" applyBorder="1" applyAlignment="1" applyProtection="1">
      <alignment horizontal="right" vertical="center"/>
    </xf>
    <xf numFmtId="179" fontId="4" fillId="15" borderId="134" xfId="1" applyNumberFormat="1" applyFont="1" applyFill="1" applyBorder="1" applyAlignment="1" applyProtection="1">
      <alignment horizontal="right" vertical="center"/>
    </xf>
    <xf numFmtId="179" fontId="4" fillId="15" borderId="0" xfId="1" applyNumberFormat="1" applyFont="1" applyFill="1" applyBorder="1" applyAlignment="1" applyProtection="1">
      <alignment horizontal="right" vertical="center"/>
    </xf>
    <xf numFmtId="179" fontId="4" fillId="15" borderId="135" xfId="1" applyNumberFormat="1" applyFont="1" applyFill="1" applyBorder="1" applyAlignment="1" applyProtection="1">
      <alignment horizontal="right" vertical="center"/>
    </xf>
    <xf numFmtId="179" fontId="4" fillId="15" borderId="47" xfId="1" applyNumberFormat="1" applyFont="1" applyFill="1" applyBorder="1" applyAlignment="1" applyProtection="1">
      <alignment horizontal="right" vertical="center"/>
    </xf>
    <xf numFmtId="179" fontId="4" fillId="15" borderId="47" xfId="0" applyNumberFormat="1" applyFont="1" applyFill="1" applyBorder="1" applyAlignment="1" applyProtection="1">
      <alignment horizontal="right" vertical="center"/>
    </xf>
    <xf numFmtId="179" fontId="4" fillId="15" borderId="48" xfId="0" applyNumberFormat="1" applyFont="1" applyFill="1" applyBorder="1" applyAlignment="1" applyProtection="1">
      <alignment horizontal="right" vertical="center"/>
    </xf>
    <xf numFmtId="179" fontId="4" fillId="0" borderId="134" xfId="1" applyNumberFormat="1" applyFont="1" applyFill="1" applyBorder="1" applyAlignment="1" applyProtection="1">
      <alignment horizontal="right" vertical="center"/>
    </xf>
    <xf numFmtId="0" fontId="4" fillId="0" borderId="225" xfId="0" applyFont="1" applyBorder="1" applyAlignment="1" applyProtection="1">
      <alignment vertical="center"/>
    </xf>
    <xf numFmtId="0" fontId="4" fillId="0" borderId="226" xfId="0" applyFont="1" applyBorder="1" applyAlignment="1" applyProtection="1">
      <alignment vertical="center"/>
    </xf>
    <xf numFmtId="0" fontId="7" fillId="0" borderId="162" xfId="0" applyFont="1" applyBorder="1" applyAlignment="1" applyProtection="1">
      <alignment vertical="center"/>
    </xf>
    <xf numFmtId="179" fontId="4" fillId="5" borderId="145" xfId="0" applyNumberFormat="1" applyFont="1" applyFill="1" applyBorder="1" applyAlignment="1" applyProtection="1">
      <alignment horizontal="right" vertical="center"/>
    </xf>
    <xf numFmtId="179" fontId="4" fillId="0" borderId="143" xfId="0" applyNumberFormat="1" applyFont="1" applyBorder="1" applyAlignment="1" applyProtection="1">
      <alignment horizontal="right" vertical="center"/>
    </xf>
    <xf numFmtId="179" fontId="4" fillId="0" borderId="161" xfId="0" applyNumberFormat="1" applyFont="1" applyBorder="1" applyAlignment="1" applyProtection="1">
      <alignment horizontal="right" vertical="center"/>
    </xf>
    <xf numFmtId="179" fontId="4" fillId="0" borderId="233" xfId="0" applyNumberFormat="1" applyFont="1" applyBorder="1" applyAlignment="1" applyProtection="1">
      <alignment horizontal="right" vertical="center"/>
    </xf>
    <xf numFmtId="179" fontId="4" fillId="0" borderId="145" xfId="1" applyNumberFormat="1" applyFont="1" applyFill="1" applyBorder="1" applyAlignment="1" applyProtection="1">
      <alignment horizontal="right" vertical="center"/>
    </xf>
    <xf numFmtId="179" fontId="4" fillId="5" borderId="235" xfId="1" applyNumberFormat="1" applyFont="1" applyFill="1" applyBorder="1" applyAlignment="1" applyProtection="1">
      <alignment horizontal="right" vertical="center"/>
    </xf>
    <xf numFmtId="184" fontId="4" fillId="0" borderId="249" xfId="0" applyNumberFormat="1" applyFont="1" applyBorder="1" applyAlignment="1" applyProtection="1">
      <alignment horizontal="right" vertical="center"/>
    </xf>
    <xf numFmtId="179" fontId="4" fillId="0" borderId="250" xfId="0" applyNumberFormat="1" applyFont="1" applyBorder="1" applyAlignment="1" applyProtection="1">
      <alignment horizontal="right" vertical="center"/>
    </xf>
    <xf numFmtId="179" fontId="4" fillId="0" borderId="237" xfId="0" applyNumberFormat="1" applyFont="1" applyBorder="1" applyAlignment="1" applyProtection="1">
      <alignment horizontal="right" vertical="center"/>
    </xf>
    <xf numFmtId="184" fontId="4" fillId="0" borderId="245" xfId="0" applyNumberFormat="1" applyFont="1" applyBorder="1" applyAlignment="1" applyProtection="1">
      <alignment horizontal="right" vertical="center"/>
    </xf>
    <xf numFmtId="179" fontId="4" fillId="0" borderId="235" xfId="1" applyNumberFormat="1" applyFont="1" applyFill="1" applyBorder="1" applyAlignment="1" applyProtection="1">
      <alignment horizontal="right" vertical="center"/>
    </xf>
    <xf numFmtId="179" fontId="4" fillId="0" borderId="252" xfId="0" applyNumberFormat="1" applyFont="1" applyBorder="1" applyAlignment="1" applyProtection="1">
      <alignment horizontal="right" vertical="center"/>
    </xf>
    <xf numFmtId="184" fontId="4" fillId="0" borderId="246" xfId="0" applyNumberFormat="1" applyFont="1" applyBorder="1" applyAlignment="1" applyProtection="1">
      <alignment horizontal="right" vertical="center"/>
    </xf>
    <xf numFmtId="179" fontId="4" fillId="0" borderId="243" xfId="0" applyNumberFormat="1" applyFont="1" applyBorder="1" applyAlignment="1" applyProtection="1">
      <alignment horizontal="right" vertical="center"/>
    </xf>
    <xf numFmtId="184" fontId="4" fillId="0" borderId="248" xfId="0" applyNumberFormat="1" applyFont="1" applyBorder="1" applyAlignment="1" applyProtection="1">
      <alignment horizontal="right" vertical="center"/>
    </xf>
    <xf numFmtId="179" fontId="4" fillId="0" borderId="24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179" fontId="4" fillId="5" borderId="111" xfId="1" applyNumberFormat="1" applyFont="1" applyFill="1" applyBorder="1" applyAlignment="1" applyProtection="1">
      <alignment horizontal="right" vertical="center"/>
    </xf>
    <xf numFmtId="184" fontId="4" fillId="0" borderId="118" xfId="0" applyNumberFormat="1" applyFont="1" applyBorder="1" applyAlignment="1" applyProtection="1">
      <alignment horizontal="right" vertical="center"/>
    </xf>
    <xf numFmtId="179" fontId="4" fillId="0" borderId="119" xfId="0" applyNumberFormat="1" applyFont="1" applyBorder="1" applyAlignment="1" applyProtection="1">
      <alignment horizontal="right" vertical="center"/>
    </xf>
    <xf numFmtId="184" fontId="4" fillId="0" borderId="116" xfId="0" applyNumberFormat="1" applyFont="1" applyBorder="1" applyAlignment="1" applyProtection="1">
      <alignment horizontal="right" vertical="center"/>
    </xf>
    <xf numFmtId="179" fontId="4" fillId="0" borderId="11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vertical="center"/>
    </xf>
    <xf numFmtId="0" fontId="4" fillId="0" borderId="110" xfId="0" applyFont="1" applyBorder="1" applyAlignment="1" applyProtection="1">
      <alignment vertical="center"/>
    </xf>
    <xf numFmtId="0" fontId="7" fillId="0" borderId="110" xfId="0" applyFont="1" applyBorder="1" applyAlignment="1" applyProtection="1">
      <alignment vertical="center"/>
    </xf>
    <xf numFmtId="179" fontId="4" fillId="0" borderId="120" xfId="0" applyNumberFormat="1" applyFont="1" applyBorder="1" applyAlignment="1" applyProtection="1">
      <alignment horizontal="right" vertical="center"/>
    </xf>
    <xf numFmtId="179" fontId="4" fillId="15" borderId="14" xfId="1" applyNumberFormat="1" applyFont="1" applyFill="1" applyBorder="1" applyAlignment="1" applyProtection="1">
      <alignment horizontal="right" vertical="center"/>
    </xf>
    <xf numFmtId="179" fontId="4" fillId="15" borderId="15" xfId="1" applyNumberFormat="1" applyFont="1" applyFill="1" applyBorder="1" applyAlignment="1" applyProtection="1">
      <alignment horizontal="right" vertical="center"/>
    </xf>
    <xf numFmtId="179" fontId="4" fillId="15" borderId="33" xfId="1" applyNumberFormat="1" applyFont="1" applyFill="1" applyBorder="1" applyAlignment="1" applyProtection="1">
      <alignment horizontal="right" vertical="center"/>
    </xf>
    <xf numFmtId="179" fontId="4" fillId="15" borderId="31" xfId="1" applyNumberFormat="1" applyFont="1" applyFill="1" applyBorder="1" applyAlignment="1" applyProtection="1">
      <alignment horizontal="right" vertical="center"/>
    </xf>
    <xf numFmtId="179" fontId="4" fillId="15" borderId="31" xfId="0" applyNumberFormat="1" applyFont="1" applyFill="1" applyBorder="1" applyAlignment="1" applyProtection="1">
      <alignment horizontal="right" vertical="center"/>
    </xf>
    <xf numFmtId="179" fontId="4" fillId="15" borderId="19" xfId="0" applyNumberFormat="1" applyFont="1" applyFill="1" applyBorder="1" applyAlignment="1" applyProtection="1">
      <alignment horizontal="right" vertical="center"/>
    </xf>
    <xf numFmtId="179" fontId="4" fillId="0" borderId="14" xfId="1" applyNumberFormat="1" applyFont="1" applyFill="1" applyBorder="1" applyAlignment="1" applyProtection="1">
      <alignment horizontal="right" vertical="center"/>
    </xf>
    <xf numFmtId="0" fontId="4" fillId="0" borderId="172" xfId="0" applyFont="1" applyBorder="1" applyAlignment="1" applyProtection="1">
      <alignment vertical="center"/>
    </xf>
    <xf numFmtId="0" fontId="4" fillId="0" borderId="84" xfId="0" applyFont="1" applyBorder="1" applyAlignment="1" applyProtection="1">
      <alignment vertical="center"/>
    </xf>
    <xf numFmtId="0" fontId="7" fillId="0" borderId="84" xfId="0" applyFont="1" applyBorder="1" applyAlignment="1" applyProtection="1">
      <alignment vertical="center"/>
    </xf>
    <xf numFmtId="179" fontId="4" fillId="5" borderId="140" xfId="1" applyNumberFormat="1" applyFont="1" applyFill="1" applyBorder="1" applyAlignment="1" applyProtection="1">
      <alignment horizontal="right" vertical="center"/>
    </xf>
    <xf numFmtId="184" fontId="4" fillId="0" borderId="84" xfId="0" applyNumberFormat="1" applyFont="1" applyBorder="1" applyAlignment="1" applyProtection="1">
      <alignment horizontal="right" vertical="center"/>
    </xf>
    <xf numFmtId="179" fontId="4" fillId="0" borderId="173" xfId="0" applyNumberFormat="1" applyFont="1" applyBorder="1" applyAlignment="1" applyProtection="1">
      <alignment horizontal="right" vertical="center"/>
    </xf>
    <xf numFmtId="179" fontId="4" fillId="0" borderId="140" xfId="1" applyNumberFormat="1" applyFont="1" applyFill="1" applyBorder="1" applyAlignment="1" applyProtection="1">
      <alignment horizontal="right" vertical="center"/>
    </xf>
    <xf numFmtId="179" fontId="4" fillId="5" borderId="134" xfId="1" applyNumberFormat="1" applyFont="1" applyFill="1" applyBorder="1" applyAlignment="1" applyProtection="1">
      <alignment horizontal="right" vertical="center"/>
    </xf>
    <xf numFmtId="179" fontId="4" fillId="0" borderId="0" xfId="0" applyNumberFormat="1" applyFont="1" applyBorder="1" applyAlignment="1" applyProtection="1">
      <alignment horizontal="right" vertical="center"/>
    </xf>
    <xf numFmtId="179" fontId="4" fillId="0" borderId="208" xfId="0" applyNumberFormat="1" applyFont="1" applyBorder="1" applyAlignment="1" applyProtection="1">
      <alignment horizontal="right" vertical="center"/>
    </xf>
    <xf numFmtId="0" fontId="4" fillId="0" borderId="115" xfId="0" applyFont="1" applyBorder="1" applyAlignment="1" applyProtection="1">
      <alignment vertical="center"/>
    </xf>
    <xf numFmtId="0" fontId="4" fillId="0" borderId="130" xfId="0" applyFont="1" applyBorder="1" applyAlignment="1" applyProtection="1">
      <alignment vertical="center"/>
    </xf>
    <xf numFmtId="0" fontId="7" fillId="0" borderId="130" xfId="0" applyFont="1" applyBorder="1" applyAlignment="1" applyProtection="1">
      <alignment vertical="center"/>
    </xf>
    <xf numFmtId="179" fontId="4" fillId="5" borderId="129" xfId="1" applyNumberFormat="1" applyFont="1" applyFill="1" applyBorder="1" applyAlignment="1" applyProtection="1">
      <alignment horizontal="right" vertical="center"/>
    </xf>
    <xf numFmtId="179" fontId="4" fillId="0" borderId="130" xfId="0" applyNumberFormat="1" applyFont="1" applyBorder="1" applyAlignment="1" applyProtection="1">
      <alignment horizontal="right" vertical="center"/>
    </xf>
    <xf numFmtId="179" fontId="4" fillId="0" borderId="131" xfId="0" applyNumberFormat="1" applyFont="1" applyBorder="1" applyAlignment="1" applyProtection="1">
      <alignment horizontal="right" vertical="center"/>
    </xf>
    <xf numFmtId="179" fontId="4" fillId="0" borderId="115" xfId="0" applyNumberFormat="1" applyFont="1" applyBorder="1" applyAlignment="1" applyProtection="1">
      <alignment horizontal="right" vertical="center"/>
    </xf>
    <xf numFmtId="179" fontId="4" fillId="0" borderId="132" xfId="0" applyNumberFormat="1" applyFont="1" applyBorder="1" applyAlignment="1" applyProtection="1">
      <alignment horizontal="right" vertical="center"/>
    </xf>
    <xf numFmtId="179" fontId="4" fillId="0" borderId="129" xfId="1" applyNumberFormat="1" applyFont="1" applyFill="1" applyBorder="1" applyAlignment="1" applyProtection="1">
      <alignment horizontal="right" vertical="center"/>
    </xf>
    <xf numFmtId="179" fontId="4" fillId="15" borderId="136" xfId="1" applyNumberFormat="1" applyFont="1" applyFill="1" applyBorder="1" applyAlignment="1" applyProtection="1">
      <alignment horizontal="right" vertical="center"/>
    </xf>
    <xf numFmtId="179" fontId="4" fillId="15" borderId="20" xfId="0" applyNumberFormat="1" applyFont="1" applyFill="1" applyBorder="1" applyAlignment="1" applyProtection="1">
      <alignment horizontal="right" vertical="center"/>
    </xf>
    <xf numFmtId="179" fontId="4" fillId="15" borderId="39" xfId="0" applyNumberFormat="1" applyFont="1" applyFill="1" applyBorder="1" applyAlignment="1" applyProtection="1">
      <alignment horizontal="right" vertical="center"/>
    </xf>
    <xf numFmtId="179" fontId="4" fillId="15" borderId="37" xfId="0" applyNumberFormat="1" applyFont="1" applyFill="1" applyBorder="1" applyAlignment="1" applyProtection="1">
      <alignment horizontal="right" vertical="center"/>
    </xf>
    <xf numFmtId="179" fontId="4" fillId="15" borderId="68" xfId="0" applyNumberFormat="1" applyFont="1" applyFill="1" applyBorder="1" applyAlignment="1" applyProtection="1">
      <alignment horizontal="right" vertical="center"/>
    </xf>
    <xf numFmtId="179" fontId="4" fillId="0" borderId="136" xfId="1" applyNumberFormat="1" applyFont="1" applyFill="1" applyBorder="1" applyAlignment="1" applyProtection="1">
      <alignment horizontal="right" vertical="center"/>
    </xf>
    <xf numFmtId="179" fontId="5" fillId="6" borderId="140" xfId="1" applyNumberFormat="1" applyFont="1" applyFill="1" applyBorder="1" applyAlignment="1" applyProtection="1">
      <alignment horizontal="right" vertical="center"/>
    </xf>
    <xf numFmtId="179" fontId="8" fillId="0" borderId="141" xfId="1" applyNumberFormat="1" applyFont="1" applyFill="1" applyBorder="1" applyAlignment="1" applyProtection="1">
      <alignment horizontal="right" vertical="center"/>
    </xf>
    <xf numFmtId="179" fontId="5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0" fillId="0" borderId="0" xfId="1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1" fontId="4" fillId="0" borderId="0" xfId="0" applyNumberFormat="1" applyFont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0" fontId="4" fillId="0" borderId="142" xfId="0" applyFont="1" applyBorder="1" applyAlignment="1" applyProtection="1">
      <alignment vertical="center"/>
    </xf>
    <xf numFmtId="0" fontId="4" fillId="0" borderId="143" xfId="0" applyFont="1" applyBorder="1" applyAlignment="1" applyProtection="1">
      <alignment vertical="center"/>
    </xf>
    <xf numFmtId="0" fontId="4" fillId="0" borderId="144" xfId="0" applyFont="1" applyBorder="1" applyAlignment="1" applyProtection="1">
      <alignment vertical="center"/>
    </xf>
    <xf numFmtId="0" fontId="4" fillId="0" borderId="145" xfId="0" applyFont="1" applyBorder="1" applyAlignment="1" applyProtection="1">
      <alignment vertical="center"/>
    </xf>
    <xf numFmtId="41" fontId="4" fillId="0" borderId="146" xfId="1" applyNumberFormat="1" applyFont="1" applyFill="1" applyBorder="1" applyAlignment="1" applyProtection="1">
      <alignment vertical="center"/>
    </xf>
    <xf numFmtId="41" fontId="4" fillId="0" borderId="147" xfId="1" applyNumberFormat="1" applyFont="1" applyFill="1" applyBorder="1" applyAlignment="1" applyProtection="1">
      <alignment vertical="center"/>
    </xf>
    <xf numFmtId="41" fontId="4" fillId="0" borderId="147" xfId="0" applyNumberFormat="1" applyFont="1" applyFill="1" applyBorder="1" applyAlignment="1" applyProtection="1">
      <alignment vertical="center"/>
    </xf>
    <xf numFmtId="41" fontId="4" fillId="0" borderId="148" xfId="0" applyNumberFormat="1" applyFont="1" applyFill="1" applyBorder="1" applyAlignment="1" applyProtection="1">
      <alignment vertical="center"/>
    </xf>
    <xf numFmtId="0" fontId="4" fillId="0" borderId="43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4" fillId="0" borderId="134" xfId="0" applyFont="1" applyBorder="1" applyAlignment="1" applyProtection="1">
      <alignment horizontal="center" vertical="center"/>
    </xf>
    <xf numFmtId="186" fontId="4" fillId="0" borderId="43" xfId="0" applyNumberFormat="1" applyFont="1" applyFill="1" applyBorder="1" applyAlignment="1" applyProtection="1">
      <alignment vertical="center"/>
    </xf>
    <xf numFmtId="188" fontId="4" fillId="0" borderId="135" xfId="0" applyNumberFormat="1" applyFont="1" applyFill="1" applyBorder="1" applyAlignment="1" applyProtection="1">
      <alignment horizontal="center" vertical="center"/>
    </xf>
    <xf numFmtId="0" fontId="4" fillId="0" borderId="47" xfId="0" applyNumberFormat="1" applyFont="1" applyFill="1" applyBorder="1" applyAlignment="1" applyProtection="1">
      <alignment horizontal="center" vertical="center"/>
    </xf>
    <xf numFmtId="187" fontId="4" fillId="0" borderId="135" xfId="1" applyNumberFormat="1" applyFont="1" applyFill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vertical="center"/>
    </xf>
    <xf numFmtId="0" fontId="4" fillId="0" borderId="85" xfId="0" applyFont="1" applyBorder="1" applyAlignment="1" applyProtection="1">
      <alignment vertical="center"/>
    </xf>
    <xf numFmtId="0" fontId="4" fillId="0" borderId="140" xfId="0" applyFont="1" applyBorder="1" applyAlignment="1" applyProtection="1">
      <alignment vertical="center"/>
    </xf>
    <xf numFmtId="41" fontId="10" fillId="4" borderId="149" xfId="0" applyNumberFormat="1" applyFont="1" applyFill="1" applyBorder="1" applyAlignment="1" applyProtection="1">
      <alignment horizontal="center" vertical="center"/>
    </xf>
    <xf numFmtId="41" fontId="10" fillId="4" borderId="42" xfId="0" applyNumberFormat="1" applyFont="1" applyFill="1" applyBorder="1" applyAlignment="1" applyProtection="1">
      <alignment horizontal="center" vertical="center"/>
    </xf>
    <xf numFmtId="0" fontId="4" fillId="0" borderId="152" xfId="0" applyFont="1" applyBorder="1" applyAlignment="1" applyProtection="1">
      <alignment vertical="center"/>
    </xf>
    <xf numFmtId="0" fontId="4" fillId="0" borderId="153" xfId="0" applyFont="1" applyBorder="1" applyAlignment="1" applyProtection="1">
      <alignment vertical="center"/>
    </xf>
    <xf numFmtId="179" fontId="4" fillId="0" borderId="129" xfId="0" applyNumberFormat="1" applyFont="1" applyBorder="1" applyAlignment="1" applyProtection="1">
      <alignment vertical="center"/>
    </xf>
    <xf numFmtId="0" fontId="4" fillId="0" borderId="154" xfId="0" applyFont="1" applyBorder="1" applyAlignment="1" applyProtection="1">
      <alignment vertical="center"/>
    </xf>
    <xf numFmtId="179" fontId="4" fillId="0" borderId="131" xfId="0" applyNumberFormat="1" applyFont="1" applyBorder="1" applyAlignment="1" applyProtection="1">
      <alignment vertical="center"/>
    </xf>
    <xf numFmtId="0" fontId="4" fillId="0" borderId="155" xfId="0" applyFont="1" applyBorder="1" applyAlignment="1" applyProtection="1">
      <alignment vertical="center"/>
    </xf>
    <xf numFmtId="179" fontId="4" fillId="0" borderId="132" xfId="0" applyNumberFormat="1" applyFont="1" applyBorder="1" applyAlignment="1" applyProtection="1">
      <alignment vertical="center"/>
    </xf>
    <xf numFmtId="176" fontId="4" fillId="0" borderId="177" xfId="1" applyNumberFormat="1" applyFont="1" applyBorder="1" applyAlignment="1" applyProtection="1">
      <alignment vertical="center"/>
    </xf>
    <xf numFmtId="179" fontId="4" fillId="0" borderId="178" xfId="0" applyNumberFormat="1" applyFont="1" applyBorder="1" applyAlignment="1" applyProtection="1">
      <alignment vertical="center"/>
    </xf>
    <xf numFmtId="176" fontId="4" fillId="0" borderId="179" xfId="1" applyNumberFormat="1" applyFont="1" applyBorder="1" applyAlignment="1" applyProtection="1">
      <alignment vertical="center"/>
    </xf>
    <xf numFmtId="184" fontId="4" fillId="0" borderId="180" xfId="0" applyNumberFormat="1" applyFont="1" applyBorder="1" applyAlignment="1" applyProtection="1">
      <alignment vertical="center"/>
    </xf>
    <xf numFmtId="176" fontId="4" fillId="0" borderId="179" xfId="0" applyNumberFormat="1" applyFont="1" applyBorder="1" applyAlignment="1" applyProtection="1">
      <alignment vertical="center"/>
    </xf>
    <xf numFmtId="176" fontId="4" fillId="0" borderId="181" xfId="0" applyNumberFormat="1" applyFont="1" applyBorder="1" applyAlignment="1" applyProtection="1">
      <alignment vertical="center"/>
    </xf>
    <xf numFmtId="0" fontId="4" fillId="0" borderId="117" xfId="0" applyFont="1" applyBorder="1" applyAlignment="1" applyProtection="1">
      <alignment vertical="center"/>
    </xf>
    <xf numFmtId="0" fontId="7" fillId="0" borderId="113" xfId="0" applyFont="1" applyBorder="1" applyAlignment="1" applyProtection="1">
      <alignment vertical="center"/>
    </xf>
    <xf numFmtId="176" fontId="4" fillId="0" borderId="107" xfId="1" applyNumberFormat="1" applyFont="1" applyBorder="1" applyAlignment="1" applyProtection="1">
      <alignment vertical="center"/>
    </xf>
    <xf numFmtId="179" fontId="4" fillId="0" borderId="150" xfId="0" applyNumberFormat="1" applyFont="1" applyBorder="1" applyAlignment="1" applyProtection="1">
      <alignment vertical="center"/>
    </xf>
    <xf numFmtId="176" fontId="4" fillId="0" borderId="108" xfId="1" applyNumberFormat="1" applyFont="1" applyBorder="1" applyAlignment="1" applyProtection="1">
      <alignment vertical="center"/>
    </xf>
    <xf numFmtId="184" fontId="4" fillId="0" borderId="151" xfId="0" applyNumberFormat="1" applyFont="1" applyBorder="1" applyAlignment="1" applyProtection="1">
      <alignment vertical="center"/>
    </xf>
    <xf numFmtId="176" fontId="4" fillId="0" borderId="108" xfId="0" applyNumberFormat="1" applyFont="1" applyBorder="1" applyAlignment="1" applyProtection="1">
      <alignment vertical="center"/>
    </xf>
    <xf numFmtId="176" fontId="4" fillId="0" borderId="109" xfId="0" applyNumberFormat="1" applyFont="1" applyBorder="1" applyAlignment="1" applyProtection="1">
      <alignment vertical="center"/>
    </xf>
    <xf numFmtId="176" fontId="4" fillId="0" borderId="129" xfId="0" applyNumberFormat="1" applyFont="1" applyBorder="1" applyAlignment="1" applyProtection="1">
      <alignment vertical="center"/>
    </xf>
    <xf numFmtId="184" fontId="4" fillId="0" borderId="154" xfId="0" applyNumberFormat="1" applyFont="1" applyBorder="1" applyAlignment="1" applyProtection="1">
      <alignment vertical="center"/>
    </xf>
    <xf numFmtId="176" fontId="4" fillId="0" borderId="131" xfId="0" applyNumberFormat="1" applyFont="1" applyBorder="1" applyAlignment="1" applyProtection="1">
      <alignment vertical="center"/>
    </xf>
    <xf numFmtId="184" fontId="4" fillId="0" borderId="155" xfId="0" applyNumberFormat="1" applyFont="1" applyBorder="1" applyAlignment="1" applyProtection="1">
      <alignment vertical="center"/>
    </xf>
    <xf numFmtId="176" fontId="4" fillId="0" borderId="132" xfId="0" applyNumberFormat="1" applyFont="1" applyBorder="1" applyAlignment="1" applyProtection="1">
      <alignment vertical="center"/>
    </xf>
    <xf numFmtId="176" fontId="4" fillId="0" borderId="100" xfId="0" applyNumberFormat="1" applyFont="1" applyBorder="1" applyAlignment="1" applyProtection="1">
      <alignment vertical="center"/>
    </xf>
    <xf numFmtId="179" fontId="4" fillId="0" borderId="41" xfId="0" applyNumberFormat="1" applyFont="1" applyBorder="1" applyAlignment="1" applyProtection="1">
      <alignment vertical="center"/>
    </xf>
    <xf numFmtId="176" fontId="4" fillId="0" borderId="101" xfId="0" applyNumberFormat="1" applyFont="1" applyBorder="1" applyAlignment="1" applyProtection="1">
      <alignment vertical="center"/>
    </xf>
    <xf numFmtId="176" fontId="4" fillId="0" borderId="42" xfId="0" applyNumberFormat="1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6" fillId="0" borderId="135" xfId="0" applyFont="1" applyFill="1" applyBorder="1" applyAlignment="1" applyProtection="1">
      <alignment vertical="center"/>
    </xf>
    <xf numFmtId="0" fontId="16" fillId="12" borderId="31" xfId="0" applyFont="1" applyFill="1" applyBorder="1" applyAlignment="1" applyProtection="1">
      <alignment horizontal="centerContinuous" vertical="center"/>
    </xf>
    <xf numFmtId="0" fontId="16" fillId="12" borderId="33" xfId="0" applyFont="1" applyFill="1" applyBorder="1" applyAlignment="1" applyProtection="1">
      <alignment horizontal="centerContinuous" vertical="center"/>
    </xf>
    <xf numFmtId="0" fontId="16" fillId="12" borderId="15" xfId="0" applyFont="1" applyFill="1" applyBorder="1" applyAlignment="1" applyProtection="1">
      <alignment horizontal="centerContinuous" vertical="center"/>
    </xf>
    <xf numFmtId="0" fontId="16" fillId="12" borderId="32" xfId="0" applyFont="1" applyFill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vertical="distributed"/>
    </xf>
    <xf numFmtId="0" fontId="0" fillId="0" borderId="60" xfId="0" applyFont="1" applyBorder="1" applyAlignment="1" applyProtection="1">
      <alignment vertical="center"/>
    </xf>
    <xf numFmtId="0" fontId="0" fillId="0" borderId="219" xfId="0" applyFont="1" applyBorder="1" applyAlignment="1" applyProtection="1">
      <alignment vertical="center"/>
    </xf>
    <xf numFmtId="0" fontId="0" fillId="0" borderId="59" xfId="0" applyFont="1" applyBorder="1" applyAlignment="1" applyProtection="1">
      <alignment vertical="center"/>
    </xf>
    <xf numFmtId="179" fontId="0" fillId="5" borderId="220" xfId="1" applyNumberFormat="1" applyFont="1" applyFill="1" applyBorder="1" applyAlignment="1" applyProtection="1">
      <alignment vertical="center"/>
    </xf>
    <xf numFmtId="0" fontId="0" fillId="0" borderId="60" xfId="0" applyFont="1" applyFill="1" applyBorder="1" applyAlignment="1" applyProtection="1">
      <alignment vertical="center"/>
    </xf>
    <xf numFmtId="0" fontId="0" fillId="0" borderId="59" xfId="0" applyFont="1" applyFill="1" applyBorder="1" applyAlignment="1" applyProtection="1">
      <alignment vertical="center"/>
    </xf>
    <xf numFmtId="0" fontId="0" fillId="0" borderId="219" xfId="0" applyFont="1" applyBorder="1" applyAlignment="1" applyProtection="1"/>
    <xf numFmtId="0" fontId="0" fillId="0" borderId="12" xfId="0" applyFont="1" applyBorder="1" applyAlignment="1" applyProtection="1">
      <alignment vertical="center" textRotation="255"/>
    </xf>
    <xf numFmtId="0" fontId="0" fillId="0" borderId="66" xfId="0" applyFont="1" applyBorder="1" applyAlignment="1" applyProtection="1">
      <alignment vertical="center"/>
    </xf>
    <xf numFmtId="0" fontId="0" fillId="0" borderId="221" xfId="0" applyFont="1" applyBorder="1" applyAlignment="1" applyProtection="1">
      <alignment vertical="center"/>
    </xf>
    <xf numFmtId="0" fontId="0" fillId="0" borderId="58" xfId="0" applyFont="1" applyBorder="1" applyAlignment="1" applyProtection="1">
      <alignment vertical="center"/>
    </xf>
    <xf numFmtId="179" fontId="0" fillId="5" borderId="222" xfId="1" applyNumberFormat="1" applyFont="1" applyFill="1" applyBorder="1" applyAlignment="1" applyProtection="1">
      <alignment vertical="center"/>
    </xf>
    <xf numFmtId="0" fontId="0" fillId="0" borderId="221" xfId="0" applyFont="1" applyBorder="1" applyAlignment="1" applyProtection="1"/>
    <xf numFmtId="179" fontId="0" fillId="5" borderId="84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179" fontId="0" fillId="0" borderId="0" xfId="0" applyNumberFormat="1" applyFont="1" applyAlignment="1" applyProtection="1">
      <alignment vertical="center"/>
    </xf>
    <xf numFmtId="0" fontId="0" fillId="0" borderId="32" xfId="0" applyFont="1" applyBorder="1" applyAlignment="1" applyProtection="1">
      <alignment vertical="distributed"/>
    </xf>
    <xf numFmtId="0" fontId="0" fillId="0" borderId="32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vertical="center"/>
    </xf>
    <xf numFmtId="179" fontId="0" fillId="5" borderId="32" xfId="1" applyNumberFormat="1" applyFont="1" applyFill="1" applyBorder="1" applyAlignment="1" applyProtection="1">
      <alignment vertical="center"/>
    </xf>
    <xf numFmtId="0" fontId="0" fillId="0" borderId="31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33" xfId="0" applyFont="1" applyBorder="1" applyAlignment="1" applyProtection="1"/>
    <xf numFmtId="0" fontId="0" fillId="0" borderId="0" xfId="0" applyFont="1" applyBorder="1" applyAlignment="1" applyProtection="1">
      <alignment vertical="center" textRotation="255"/>
    </xf>
    <xf numFmtId="0" fontId="25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 wrapText="1"/>
    </xf>
    <xf numFmtId="3" fontId="0" fillId="0" borderId="0" xfId="0" applyNumberFormat="1" applyFont="1" applyBorder="1" applyAlignment="1" applyProtection="1">
      <alignment horizontal="center" vertical="center"/>
    </xf>
    <xf numFmtId="3" fontId="0" fillId="0" borderId="84" xfId="0" applyNumberFormat="1" applyFont="1" applyBorder="1" applyAlignment="1" applyProtection="1">
      <alignment horizontal="centerContinuous" vertical="center"/>
    </xf>
    <xf numFmtId="0" fontId="25" fillId="0" borderId="145" xfId="0" applyFont="1" applyBorder="1" applyAlignment="1" applyProtection="1">
      <alignment horizontal="center" vertical="center"/>
    </xf>
    <xf numFmtId="0" fontId="25" fillId="0" borderId="48" xfId="0" applyFont="1" applyBorder="1" applyAlignment="1" applyProtection="1">
      <alignment vertical="center"/>
    </xf>
    <xf numFmtId="38" fontId="26" fillId="7" borderId="142" xfId="0" applyNumberFormat="1" applyFont="1" applyFill="1" applyBorder="1" applyAlignment="1" applyProtection="1">
      <alignment horizontal="left" vertical="center"/>
    </xf>
    <xf numFmtId="38" fontId="26" fillId="7" borderId="143" xfId="0" applyNumberFormat="1" applyFont="1" applyFill="1" applyBorder="1" applyAlignment="1" applyProtection="1">
      <alignment horizontal="left" vertical="center"/>
    </xf>
    <xf numFmtId="38" fontId="25" fillId="7" borderId="144" xfId="0" applyNumberFormat="1" applyFont="1" applyFill="1" applyBorder="1" applyAlignment="1" applyProtection="1">
      <alignment horizontal="center" vertical="center"/>
    </xf>
    <xf numFmtId="38" fontId="25" fillId="0" borderId="0" xfId="0" applyNumberFormat="1" applyFont="1" applyFill="1" applyBorder="1" applyAlignment="1" applyProtection="1">
      <alignment horizontal="center" vertical="center"/>
    </xf>
    <xf numFmtId="0" fontId="0" fillId="0" borderId="134" xfId="0" applyFont="1" applyBorder="1" applyAlignment="1" applyProtection="1">
      <alignment horizontal="center" vertical="center"/>
    </xf>
    <xf numFmtId="0" fontId="25" fillId="7" borderId="43" xfId="0" applyFont="1" applyFill="1" applyBorder="1" applyAlignment="1" applyProtection="1">
      <alignment vertical="center"/>
    </xf>
    <xf numFmtId="0" fontId="25" fillId="7" borderId="0" xfId="0" applyFont="1" applyFill="1" applyBorder="1" applyAlignment="1" applyProtection="1">
      <alignment vertical="center"/>
    </xf>
    <xf numFmtId="0" fontId="25" fillId="7" borderId="48" xfId="0" applyFont="1" applyFill="1" applyBorder="1" applyAlignment="1" applyProtection="1">
      <alignment vertical="center"/>
    </xf>
    <xf numFmtId="38" fontId="25" fillId="0" borderId="0" xfId="1" applyFont="1" applyFill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3" fontId="25" fillId="0" borderId="134" xfId="0" applyNumberFormat="1" applyFont="1" applyBorder="1" applyAlignment="1" applyProtection="1">
      <alignment horizontal="center" vertical="center"/>
    </xf>
    <xf numFmtId="0" fontId="25" fillId="7" borderId="223" xfId="0" applyFont="1" applyFill="1" applyBorder="1" applyAlignment="1" applyProtection="1">
      <alignment vertical="center"/>
    </xf>
    <xf numFmtId="0" fontId="25" fillId="7" borderId="77" xfId="0" applyFont="1" applyFill="1" applyBorder="1" applyAlignment="1" applyProtection="1">
      <alignment vertical="center"/>
    </xf>
    <xf numFmtId="179" fontId="25" fillId="7" borderId="48" xfId="1" applyNumberFormat="1" applyFont="1" applyFill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6" fillId="8" borderId="43" xfId="0" applyFont="1" applyFill="1" applyBorder="1" applyAlignment="1" applyProtection="1">
      <alignment vertical="center"/>
    </xf>
    <xf numFmtId="0" fontId="26" fillId="8" borderId="0" xfId="0" applyFont="1" applyFill="1" applyBorder="1" applyAlignment="1" applyProtection="1">
      <alignment vertical="center"/>
    </xf>
    <xf numFmtId="179" fontId="25" fillId="8" borderId="213" xfId="1" applyNumberFormat="1" applyFont="1" applyFill="1" applyBorder="1" applyAlignment="1" applyProtection="1">
      <alignment vertical="center"/>
    </xf>
    <xf numFmtId="0" fontId="25" fillId="0" borderId="142" xfId="0" applyFont="1" applyBorder="1" applyAlignment="1" applyProtection="1">
      <alignment vertical="center"/>
    </xf>
    <xf numFmtId="0" fontId="25" fillId="0" borderId="144" xfId="0" applyFont="1" applyBorder="1" applyAlignment="1" applyProtection="1">
      <alignment vertical="center"/>
    </xf>
    <xf numFmtId="3" fontId="0" fillId="0" borderId="134" xfId="0" applyNumberFormat="1" applyFont="1" applyBorder="1" applyAlignment="1" applyProtection="1">
      <alignment horizontal="center" vertical="center"/>
    </xf>
    <xf numFmtId="0" fontId="25" fillId="8" borderId="43" xfId="0" applyFont="1" applyFill="1" applyBorder="1" applyAlignment="1" applyProtection="1">
      <alignment vertical="center"/>
    </xf>
    <xf numFmtId="0" fontId="25" fillId="8" borderId="0" xfId="0" applyFont="1" applyFill="1" applyBorder="1" applyAlignment="1" applyProtection="1">
      <alignment vertical="center"/>
    </xf>
    <xf numFmtId="179" fontId="25" fillId="8" borderId="48" xfId="1" applyNumberFormat="1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43" xfId="0" applyFont="1" applyBorder="1" applyAlignment="1" applyProtection="1">
      <alignment vertical="center"/>
    </xf>
    <xf numFmtId="179" fontId="25" fillId="0" borderId="48" xfId="1" applyNumberFormat="1" applyFont="1" applyBorder="1" applyAlignment="1" applyProtection="1">
      <alignment horizontal="right" vertical="center"/>
    </xf>
    <xf numFmtId="0" fontId="0" fillId="0" borderId="43" xfId="0" applyFont="1" applyBorder="1" applyAlignment="1" applyProtection="1">
      <alignment vertical="center"/>
    </xf>
    <xf numFmtId="179" fontId="0" fillId="0" borderId="48" xfId="0" applyNumberFormat="1" applyFont="1" applyBorder="1" applyAlignment="1" applyProtection="1">
      <alignment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38" fontId="25" fillId="0" borderId="0" xfId="0" applyNumberFormat="1" applyFont="1" applyBorder="1" applyAlignment="1" applyProtection="1">
      <alignment horizontal="left" vertical="center" indent="1"/>
    </xf>
    <xf numFmtId="179" fontId="25" fillId="0" borderId="48" xfId="1" applyNumberFormat="1" applyFont="1" applyBorder="1" applyAlignment="1" applyProtection="1">
      <alignment vertical="center"/>
    </xf>
    <xf numFmtId="3" fontId="25" fillId="6" borderId="134" xfId="0" applyNumberFormat="1" applyFont="1" applyFill="1" applyBorder="1" applyAlignment="1" applyProtection="1">
      <alignment horizontal="center" vertical="center"/>
    </xf>
    <xf numFmtId="38" fontId="0" fillId="0" borderId="0" xfId="0" applyNumberFormat="1" applyFont="1" applyFill="1" applyBorder="1" applyAlignment="1" applyProtection="1">
      <alignment horizontal="centerContinuous" vertical="center"/>
    </xf>
    <xf numFmtId="0" fontId="25" fillId="0" borderId="0" xfId="0" applyFont="1" applyBorder="1" applyAlignment="1" applyProtection="1">
      <alignment horizontal="centerContinuous" vertical="center" wrapText="1"/>
    </xf>
    <xf numFmtId="3" fontId="0" fillId="6" borderId="134" xfId="0" applyNumberFormat="1" applyFont="1" applyFill="1" applyBorder="1" applyAlignment="1" applyProtection="1">
      <alignment horizontal="center" vertical="center"/>
    </xf>
    <xf numFmtId="38" fontId="25" fillId="0" borderId="0" xfId="1" applyFont="1" applyFill="1" applyBorder="1" applyAlignment="1" applyProtection="1">
      <alignment horizontal="centerContinuous" vertical="center"/>
    </xf>
    <xf numFmtId="0" fontId="25" fillId="0" borderId="0" xfId="0" applyFont="1" applyBorder="1" applyAlignment="1" applyProtection="1">
      <alignment horizontal="centerContinuous" vertical="center"/>
    </xf>
    <xf numFmtId="0" fontId="0" fillId="6" borderId="140" xfId="0" applyFont="1" applyFill="1" applyBorder="1" applyAlignment="1" applyProtection="1">
      <alignment horizontal="center" vertical="center"/>
    </xf>
    <xf numFmtId="179" fontId="25" fillId="8" borderId="13" xfId="1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Continuous" vertical="center"/>
    </xf>
    <xf numFmtId="0" fontId="25" fillId="0" borderId="224" xfId="0" applyFont="1" applyBorder="1" applyAlignment="1" applyProtection="1">
      <alignment vertical="center"/>
    </xf>
    <xf numFmtId="0" fontId="25" fillId="0" borderId="13" xfId="1" applyNumberFormat="1" applyFont="1" applyBorder="1" applyAlignment="1" applyProtection="1">
      <alignment horizontal="right" vertical="center"/>
    </xf>
    <xf numFmtId="3" fontId="25" fillId="9" borderId="145" xfId="0" applyNumberFormat="1" applyFont="1" applyFill="1" applyBorder="1" applyAlignment="1" applyProtection="1">
      <alignment horizontal="center" vertical="center"/>
    </xf>
    <xf numFmtId="0" fontId="25" fillId="0" borderId="159" xfId="0" applyFont="1" applyFill="1" applyBorder="1" applyAlignment="1" applyProtection="1">
      <alignment vertical="center"/>
    </xf>
    <xf numFmtId="0" fontId="25" fillId="0" borderId="20" xfId="0" applyFont="1" applyFill="1" applyBorder="1" applyAlignment="1" applyProtection="1">
      <alignment vertical="center"/>
    </xf>
    <xf numFmtId="179" fontId="25" fillId="0" borderId="68" xfId="0" applyNumberFormat="1" applyFont="1" applyFill="1" applyBorder="1" applyAlignment="1" applyProtection="1">
      <alignment vertical="center"/>
    </xf>
    <xf numFmtId="0" fontId="0" fillId="0" borderId="82" xfId="0" applyFont="1" applyBorder="1" applyAlignment="1" applyProtection="1">
      <alignment vertical="center"/>
    </xf>
    <xf numFmtId="179" fontId="0" fillId="0" borderId="85" xfId="1" applyNumberFormat="1" applyFont="1" applyBorder="1" applyAlignment="1" applyProtection="1">
      <alignment vertical="center"/>
    </xf>
    <xf numFmtId="3" fontId="25" fillId="9" borderId="134" xfId="0" applyNumberFormat="1" applyFont="1" applyFill="1" applyBorder="1" applyAlignment="1" applyProtection="1">
      <alignment horizontal="center" vertical="center"/>
    </xf>
    <xf numFmtId="179" fontId="0" fillId="0" borderId="0" xfId="0" applyNumberFormat="1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Continuous" vertical="center"/>
    </xf>
    <xf numFmtId="3" fontId="25" fillId="9" borderId="9" xfId="0" applyNumberFormat="1" applyFont="1" applyFill="1" applyBorder="1" applyAlignment="1" applyProtection="1">
      <alignment horizontal="center" vertical="center"/>
    </xf>
    <xf numFmtId="0" fontId="25" fillId="0" borderId="134" xfId="0" applyFont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Continuous" vertical="center"/>
    </xf>
    <xf numFmtId="0" fontId="0" fillId="0" borderId="0" xfId="0" applyFont="1" applyFill="1" applyBorder="1" applyAlignment="1" applyProtection="1">
      <alignment horizontal="centerContinuous" vertical="center"/>
    </xf>
    <xf numFmtId="3" fontId="25" fillId="0" borderId="0" xfId="0" applyNumberFormat="1" applyFont="1" applyFill="1" applyBorder="1" applyAlignment="1" applyProtection="1">
      <alignment horizontal="centerContinuous" vertical="center" wrapText="1"/>
    </xf>
    <xf numFmtId="3" fontId="25" fillId="0" borderId="0" xfId="0" applyNumberFormat="1" applyFont="1" applyAlignment="1" applyProtection="1">
      <alignment horizontal="center" vertical="center"/>
    </xf>
    <xf numFmtId="3" fontId="25" fillId="6" borderId="145" xfId="0" applyNumberFormat="1" applyFont="1" applyFill="1" applyBorder="1" applyAlignment="1" applyProtection="1">
      <alignment horizontal="center" vertical="center" wrapText="1"/>
    </xf>
    <xf numFmtId="0" fontId="0" fillId="0" borderId="140" xfId="0" applyFont="1" applyBorder="1" applyAlignment="1" applyProtection="1">
      <alignment horizontal="center" vertical="center"/>
    </xf>
    <xf numFmtId="3" fontId="25" fillId="9" borderId="140" xfId="0" applyNumberFormat="1" applyFont="1" applyFill="1" applyBorder="1" applyAlignment="1" applyProtection="1">
      <alignment horizontal="center" vertical="center"/>
    </xf>
    <xf numFmtId="0" fontId="25" fillId="0" borderId="84" xfId="0" applyFont="1" applyBorder="1" applyAlignment="1" applyProtection="1">
      <alignment horizontal="center" vertical="center"/>
    </xf>
    <xf numFmtId="38" fontId="25" fillId="0" borderId="140" xfId="0" applyNumberFormat="1" applyFont="1" applyBorder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0" fontId="14" fillId="0" borderId="84" xfId="0" applyFont="1" applyBorder="1" applyAlignment="1" applyProtection="1">
      <alignment vertical="center"/>
    </xf>
    <xf numFmtId="0" fontId="16" fillId="4" borderId="170" xfId="0" applyFont="1" applyFill="1" applyBorder="1" applyAlignment="1" applyProtection="1">
      <alignment horizontal="distributed" vertical="center" justifyLastLine="1"/>
    </xf>
    <xf numFmtId="0" fontId="0" fillId="0" borderId="0" xfId="0" applyFont="1" applyBorder="1" applyAlignment="1" applyProtection="1">
      <alignment vertical="center"/>
    </xf>
    <xf numFmtId="183" fontId="4" fillId="0" borderId="0" xfId="0" applyNumberFormat="1" applyFont="1" applyFill="1" applyBorder="1" applyAlignment="1" applyProtection="1">
      <alignment horizontal="left"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183" fontId="4" fillId="0" borderId="0" xfId="0" applyNumberFormat="1" applyFont="1" applyFill="1" applyBorder="1" applyAlignment="1" applyProtection="1">
      <alignment horizontal="center" vertical="center"/>
    </xf>
    <xf numFmtId="0" fontId="0" fillId="17" borderId="114" xfId="0" applyFont="1" applyFill="1" applyBorder="1" applyAlignment="1" applyProtection="1">
      <alignment vertical="center"/>
    </xf>
    <xf numFmtId="0" fontId="0" fillId="17" borderId="31" xfId="0" applyFont="1" applyFill="1" applyBorder="1" applyAlignment="1" applyProtection="1">
      <alignment horizontal="left" vertical="center"/>
    </xf>
    <xf numFmtId="0" fontId="0" fillId="17" borderId="15" xfId="0" applyFont="1" applyFill="1" applyBorder="1" applyAlignment="1" applyProtection="1">
      <alignment horizontal="left" vertical="center"/>
    </xf>
    <xf numFmtId="179" fontId="0" fillId="17" borderId="33" xfId="1" applyNumberFormat="1" applyFont="1" applyFill="1" applyBorder="1" applyAlignment="1" applyProtection="1">
      <alignment vertical="center"/>
    </xf>
    <xf numFmtId="179" fontId="0" fillId="17" borderId="32" xfId="0" applyNumberFormat="1" applyFont="1" applyFill="1" applyBorder="1" applyAlignment="1" applyProtection="1">
      <alignment horizontal="right" vertical="center"/>
    </xf>
    <xf numFmtId="179" fontId="0" fillId="17" borderId="19" xfId="0" applyNumberFormat="1" applyFont="1" applyFill="1" applyBorder="1" applyAlignment="1" applyProtection="1">
      <alignment vertical="center"/>
    </xf>
    <xf numFmtId="179" fontId="0" fillId="17" borderId="127" xfId="1" applyNumberFormat="1" applyFont="1" applyFill="1" applyBorder="1" applyAlignment="1" applyProtection="1">
      <alignment vertical="center"/>
    </xf>
    <xf numFmtId="179" fontId="0" fillId="17" borderId="50" xfId="0" applyNumberFormat="1" applyFont="1" applyFill="1" applyBorder="1" applyAlignment="1" applyProtection="1">
      <alignment vertical="center"/>
    </xf>
    <xf numFmtId="179" fontId="0" fillId="17" borderId="13" xfId="0" applyNumberFormat="1" applyFont="1" applyFill="1" applyBorder="1" applyAlignment="1" applyProtection="1">
      <alignment vertical="center"/>
    </xf>
    <xf numFmtId="0" fontId="0" fillId="17" borderId="45" xfId="0" applyFont="1" applyFill="1" applyBorder="1" applyAlignment="1" applyProtection="1">
      <alignment horizontal="left" vertical="center"/>
    </xf>
    <xf numFmtId="0" fontId="0" fillId="17" borderId="165" xfId="0" applyFont="1" applyFill="1" applyBorder="1" applyAlignment="1" applyProtection="1">
      <alignment horizontal="left" vertical="center"/>
    </xf>
    <xf numFmtId="179" fontId="0" fillId="17" borderId="253" xfId="1" applyNumberFormat="1" applyFont="1" applyFill="1" applyBorder="1" applyAlignment="1" applyProtection="1">
      <alignment vertical="center"/>
    </xf>
    <xf numFmtId="179" fontId="0" fillId="17" borderId="254" xfId="0" applyNumberFormat="1" applyFont="1" applyFill="1" applyBorder="1" applyAlignment="1" applyProtection="1">
      <alignment vertical="center"/>
    </xf>
    <xf numFmtId="179" fontId="0" fillId="17" borderId="255" xfId="0" applyNumberFormat="1" applyFont="1" applyFill="1" applyBorder="1" applyAlignment="1" applyProtection="1">
      <alignment vertical="center"/>
    </xf>
    <xf numFmtId="0" fontId="0" fillId="17" borderId="12" xfId="0" applyFont="1" applyFill="1" applyBorder="1" applyAlignment="1" applyProtection="1">
      <alignment horizontal="left" vertical="center"/>
    </xf>
    <xf numFmtId="0" fontId="0" fillId="17" borderId="11" xfId="0" applyFont="1" applyFill="1" applyBorder="1" applyAlignment="1" applyProtection="1">
      <alignment horizontal="left" vertical="center"/>
    </xf>
    <xf numFmtId="179" fontId="0" fillId="17" borderId="258" xfId="1" applyNumberFormat="1" applyFont="1" applyFill="1" applyBorder="1" applyAlignment="1" applyProtection="1">
      <alignment vertical="center"/>
    </xf>
    <xf numFmtId="179" fontId="0" fillId="17" borderId="259" xfId="0" applyNumberFormat="1" applyFont="1" applyFill="1" applyBorder="1" applyAlignment="1" applyProtection="1">
      <alignment vertical="center"/>
    </xf>
    <xf numFmtId="179" fontId="0" fillId="17" borderId="260" xfId="0" applyNumberFormat="1" applyFont="1" applyFill="1" applyBorder="1" applyAlignment="1" applyProtection="1">
      <alignment vertical="center"/>
    </xf>
    <xf numFmtId="0" fontId="0" fillId="17" borderId="15" xfId="0" applyNumberFormat="1" applyFont="1" applyFill="1" applyBorder="1" applyAlignment="1" applyProtection="1">
      <alignment vertical="center"/>
    </xf>
    <xf numFmtId="0" fontId="4" fillId="17" borderId="15" xfId="0" applyNumberFormat="1" applyFont="1" applyFill="1" applyBorder="1" applyAlignment="1" applyProtection="1">
      <alignment vertical="center" wrapText="1"/>
    </xf>
    <xf numFmtId="179" fontId="0" fillId="17" borderId="15" xfId="1" applyNumberFormat="1" applyFont="1" applyFill="1" applyBorder="1" applyAlignment="1" applyProtection="1">
      <alignment vertical="center"/>
    </xf>
    <xf numFmtId="179" fontId="0" fillId="17" borderId="15" xfId="0" applyNumberFormat="1" applyFont="1" applyFill="1" applyBorder="1" applyAlignment="1" applyProtection="1">
      <alignment vertical="center"/>
    </xf>
    <xf numFmtId="0" fontId="0" fillId="17" borderId="0" xfId="0" applyNumberFormat="1" applyFont="1" applyFill="1" applyBorder="1" applyAlignment="1" applyProtection="1">
      <alignment vertical="center"/>
    </xf>
    <xf numFmtId="0" fontId="0" fillId="17" borderId="0" xfId="0" applyNumberFormat="1" applyFont="1" applyFill="1" applyBorder="1" applyAlignment="1" applyProtection="1">
      <alignment vertical="center" wrapText="1"/>
    </xf>
    <xf numFmtId="0" fontId="0" fillId="17" borderId="0" xfId="1" applyNumberFormat="1" applyFont="1" applyFill="1" applyBorder="1" applyAlignment="1" applyProtection="1">
      <alignment vertical="center"/>
    </xf>
    <xf numFmtId="0" fontId="0" fillId="17" borderId="48" xfId="0" applyNumberFormat="1" applyFont="1" applyFill="1" applyBorder="1" applyAlignment="1" applyProtection="1">
      <alignment vertical="center"/>
    </xf>
    <xf numFmtId="0" fontId="0" fillId="17" borderId="0" xfId="0" applyFont="1" applyFill="1" applyBorder="1" applyAlignment="1" applyProtection="1">
      <alignment vertical="center"/>
    </xf>
    <xf numFmtId="180" fontId="0" fillId="17" borderId="32" xfId="0" applyNumberFormat="1" applyFont="1" applyFill="1" applyBorder="1" applyAlignment="1" applyProtection="1">
      <alignment horizontal="right" vertical="center"/>
    </xf>
    <xf numFmtId="178" fontId="0" fillId="17" borderId="32" xfId="0" applyNumberFormat="1" applyFont="1" applyFill="1" applyBorder="1" applyAlignment="1" applyProtection="1">
      <alignment vertical="center"/>
    </xf>
    <xf numFmtId="0" fontId="0" fillId="17" borderId="214" xfId="0" applyFont="1" applyFill="1" applyBorder="1" applyAlignment="1" applyProtection="1">
      <alignment horizontal="left" vertical="center"/>
    </xf>
    <xf numFmtId="178" fontId="0" fillId="17" borderId="254" xfId="0" applyNumberFormat="1" applyFont="1" applyFill="1" applyBorder="1" applyAlignment="1" applyProtection="1">
      <alignment vertical="center"/>
    </xf>
    <xf numFmtId="0" fontId="0" fillId="17" borderId="127" xfId="0" applyFont="1" applyFill="1" applyBorder="1" applyAlignment="1" applyProtection="1">
      <alignment vertical="center"/>
    </xf>
    <xf numFmtId="0" fontId="0" fillId="17" borderId="215" xfId="0" applyFont="1" applyFill="1" applyBorder="1" applyAlignment="1" applyProtection="1">
      <alignment horizontal="left" vertical="center"/>
    </xf>
    <xf numFmtId="178" fontId="0" fillId="17" borderId="259" xfId="0" applyNumberFormat="1" applyFont="1" applyFill="1" applyBorder="1" applyAlignment="1" applyProtection="1">
      <alignment vertical="center"/>
    </xf>
    <xf numFmtId="0" fontId="4" fillId="17" borderId="47" xfId="0" applyFont="1" applyFill="1" applyBorder="1" applyAlignment="1" applyProtection="1">
      <alignment vertical="center"/>
    </xf>
    <xf numFmtId="0" fontId="4" fillId="17" borderId="106" xfId="0" applyFont="1" applyFill="1" applyBorder="1" applyAlignment="1" applyProtection="1">
      <alignment horizontal="right" vertical="center" indent="1"/>
    </xf>
    <xf numFmtId="0" fontId="4" fillId="17" borderId="106" xfId="0" applyFont="1" applyFill="1" applyBorder="1" applyAlignment="1" applyProtection="1">
      <alignment vertical="center"/>
    </xf>
    <xf numFmtId="179" fontId="4" fillId="17" borderId="107" xfId="1" applyNumberFormat="1" applyFont="1" applyFill="1" applyBorder="1" applyAlignment="1" applyProtection="1">
      <alignment horizontal="right" vertical="center"/>
    </xf>
    <xf numFmtId="179" fontId="4" fillId="17" borderId="106" xfId="0" applyNumberFormat="1" applyFont="1" applyFill="1" applyBorder="1" applyAlignment="1" applyProtection="1">
      <alignment horizontal="right" vertical="center"/>
    </xf>
    <xf numFmtId="179" fontId="4" fillId="17" borderId="112" xfId="0" applyNumberFormat="1" applyFont="1" applyFill="1" applyBorder="1" applyAlignment="1" applyProtection="1">
      <alignment horizontal="right" vertical="center"/>
    </xf>
    <xf numFmtId="179" fontId="4" fillId="17" borderId="105" xfId="0" applyNumberFormat="1" applyFont="1" applyFill="1" applyBorder="1" applyAlignment="1" applyProtection="1">
      <alignment horizontal="right" vertical="center"/>
    </xf>
    <xf numFmtId="179" fontId="4" fillId="17" borderId="113" xfId="0" applyNumberFormat="1" applyFont="1" applyFill="1" applyBorder="1" applyAlignment="1" applyProtection="1">
      <alignment horizontal="right" vertical="center"/>
    </xf>
    <xf numFmtId="0" fontId="4" fillId="17" borderId="114" xfId="0" applyFont="1" applyFill="1" applyBorder="1" applyAlignment="1" applyProtection="1">
      <alignment vertical="center"/>
    </xf>
    <xf numFmtId="0" fontId="4" fillId="17" borderId="0" xfId="0" applyFont="1" applyFill="1" applyBorder="1" applyAlignment="1" applyProtection="1"/>
    <xf numFmtId="0" fontId="7" fillId="17" borderId="234" xfId="0" applyFont="1" applyFill="1" applyBorder="1" applyAlignment="1" applyProtection="1">
      <alignment vertical="center" wrapText="1"/>
    </xf>
    <xf numFmtId="179" fontId="4" fillId="17" borderId="235" xfId="0" applyNumberFormat="1" applyFont="1" applyFill="1" applyBorder="1" applyAlignment="1" applyProtection="1">
      <alignment horizontal="right" vertical="center"/>
    </xf>
    <xf numFmtId="184" fontId="4" fillId="17" borderId="236" xfId="1" applyNumberFormat="1" applyFont="1" applyFill="1" applyBorder="1" applyAlignment="1" applyProtection="1">
      <alignment horizontal="right" vertical="center"/>
    </xf>
    <xf numFmtId="179" fontId="4" fillId="17" borderId="237" xfId="1" applyNumberFormat="1" applyFont="1" applyFill="1" applyBorder="1" applyAlignment="1" applyProtection="1">
      <alignment horizontal="right" vertical="center"/>
    </xf>
    <xf numFmtId="184" fontId="4" fillId="17" borderId="238" xfId="1" applyNumberFormat="1" applyFont="1" applyFill="1" applyBorder="1" applyAlignment="1" applyProtection="1">
      <alignment horizontal="right" vertical="center"/>
    </xf>
    <xf numFmtId="184" fontId="4" fillId="17" borderId="238" xfId="0" applyNumberFormat="1" applyFont="1" applyFill="1" applyBorder="1" applyAlignment="1" applyProtection="1">
      <alignment horizontal="right" vertical="center"/>
    </xf>
    <xf numFmtId="179" fontId="4" fillId="17" borderId="239" xfId="0" applyNumberFormat="1" applyFont="1" applyFill="1" applyBorder="1" applyAlignment="1" applyProtection="1">
      <alignment horizontal="right" vertical="center"/>
    </xf>
    <xf numFmtId="0" fontId="4" fillId="17" borderId="105" xfId="0" applyFont="1" applyFill="1" applyBorder="1" applyAlignment="1" applyProtection="1">
      <alignment vertical="top"/>
    </xf>
    <xf numFmtId="0" fontId="7" fillId="17" borderId="240" xfId="0" applyFont="1" applyFill="1" applyBorder="1" applyAlignment="1" applyProtection="1">
      <alignment vertical="center" wrapText="1"/>
    </xf>
    <xf numFmtId="179" fontId="4" fillId="17" borderId="241" xfId="0" applyNumberFormat="1" applyFont="1" applyFill="1" applyBorder="1" applyAlignment="1" applyProtection="1">
      <alignment horizontal="right" vertical="center"/>
    </xf>
    <xf numFmtId="0" fontId="4" fillId="17" borderId="128" xfId="0" applyFont="1" applyFill="1" applyBorder="1" applyAlignment="1" applyProtection="1">
      <alignment vertical="center"/>
    </xf>
    <xf numFmtId="0" fontId="7" fillId="17" borderId="238" xfId="0" applyFont="1" applyFill="1" applyBorder="1" applyAlignment="1" applyProtection="1">
      <alignment vertical="center"/>
    </xf>
    <xf numFmtId="0" fontId="0" fillId="17" borderId="209" xfId="0" applyFill="1" applyBorder="1" applyAlignment="1" applyProtection="1">
      <alignment vertical="center"/>
    </xf>
    <xf numFmtId="0" fontId="7" fillId="17" borderId="246" xfId="0" applyFont="1" applyFill="1" applyBorder="1" applyAlignment="1" applyProtection="1">
      <alignment vertical="center"/>
    </xf>
    <xf numFmtId="0" fontId="4" fillId="17" borderId="52" xfId="1" applyNumberFormat="1" applyFont="1" applyFill="1" applyBorder="1" applyAlignment="1" applyProtection="1">
      <alignment horizontal="center" vertical="center"/>
    </xf>
    <xf numFmtId="184" fontId="4" fillId="17" borderId="63" xfId="0" applyNumberFormat="1" applyFont="1" applyFill="1" applyBorder="1" applyAlignment="1" applyProtection="1">
      <alignment vertical="center"/>
    </xf>
    <xf numFmtId="191" fontId="4" fillId="17" borderId="242" xfId="1" applyNumberFormat="1" applyFont="1" applyFill="1" applyBorder="1" applyAlignment="1" applyProtection="1">
      <alignment horizontal="right" vertical="center"/>
    </xf>
    <xf numFmtId="191" fontId="4" fillId="17" borderId="243" xfId="1" applyNumberFormat="1" applyFont="1" applyFill="1" applyBorder="1" applyAlignment="1" applyProtection="1">
      <alignment horizontal="right" vertical="center"/>
    </xf>
    <xf numFmtId="191" fontId="4" fillId="17" borderId="244" xfId="1" applyNumberFormat="1" applyFont="1" applyFill="1" applyBorder="1" applyAlignment="1" applyProtection="1">
      <alignment horizontal="right" vertical="center"/>
    </xf>
    <xf numFmtId="191" fontId="4" fillId="17" borderId="237" xfId="1" applyNumberFormat="1" applyFont="1" applyFill="1" applyBorder="1" applyAlignment="1" applyProtection="1">
      <alignment horizontal="right" vertical="center"/>
    </xf>
    <xf numFmtId="191" fontId="4" fillId="17" borderId="245" xfId="1" applyNumberFormat="1" applyFont="1" applyFill="1" applyBorder="1" applyAlignment="1" applyProtection="1">
      <alignment horizontal="right" vertical="center"/>
    </xf>
    <xf numFmtId="191" fontId="4" fillId="17" borderId="247" xfId="1" applyNumberFormat="1" applyFont="1" applyFill="1" applyBorder="1" applyAlignment="1" applyProtection="1">
      <alignment horizontal="right" vertical="center"/>
    </xf>
    <xf numFmtId="191" fontId="4" fillId="17" borderId="248" xfId="1" applyNumberFormat="1" applyFont="1" applyFill="1" applyBorder="1" applyAlignment="1" applyProtection="1">
      <alignment horizontal="right" vertical="center"/>
    </xf>
    <xf numFmtId="191" fontId="4" fillId="17" borderId="88" xfId="0" applyNumberFormat="1" applyFont="1" applyFill="1" applyBorder="1" applyAlignment="1" applyProtection="1">
      <alignment vertical="center"/>
    </xf>
    <xf numFmtId="191" fontId="4" fillId="17" borderId="89" xfId="0" applyNumberFormat="1" applyFont="1" applyFill="1" applyBorder="1" applyAlignment="1" applyProtection="1">
      <alignment vertical="center"/>
    </xf>
    <xf numFmtId="191" fontId="4" fillId="17" borderId="62" xfId="0" applyNumberFormat="1" applyFont="1" applyFill="1" applyBorder="1" applyAlignment="1" applyProtection="1">
      <alignment vertical="center"/>
    </xf>
    <xf numFmtId="191" fontId="4" fillId="17" borderId="63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17" borderId="135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48" xfId="0" applyFont="1" applyBorder="1" applyAlignment="1" applyProtection="1">
      <alignment vertical="center"/>
    </xf>
    <xf numFmtId="0" fontId="0" fillId="0" borderId="57" xfId="0" applyFont="1" applyBorder="1" applyAlignment="1" applyProtection="1">
      <alignment vertical="center"/>
    </xf>
    <xf numFmtId="179" fontId="0" fillId="0" borderId="272" xfId="0" applyNumberFormat="1" applyFont="1" applyFill="1" applyBorder="1" applyAlignment="1" applyProtection="1">
      <alignment vertical="center"/>
    </xf>
    <xf numFmtId="179" fontId="4" fillId="0" borderId="280" xfId="0" applyNumberFormat="1" applyFont="1" applyBorder="1" applyAlignment="1" applyProtection="1">
      <alignment horizontal="right" vertical="center"/>
    </xf>
    <xf numFmtId="184" fontId="4" fillId="0" borderId="47" xfId="0" applyNumberFormat="1" applyFont="1" applyBorder="1" applyAlignment="1" applyProtection="1">
      <alignment horizontal="right" vertical="center"/>
    </xf>
    <xf numFmtId="184" fontId="4" fillId="0" borderId="281" xfId="0" applyNumberFormat="1" applyFont="1" applyBorder="1" applyAlignment="1" applyProtection="1">
      <alignment horizontal="right" vertical="center"/>
    </xf>
    <xf numFmtId="179" fontId="32" fillId="5" borderId="220" xfId="1" applyNumberFormat="1" applyFont="1" applyFill="1" applyBorder="1" applyAlignment="1" applyProtection="1">
      <alignment vertical="center"/>
    </xf>
    <xf numFmtId="0" fontId="32" fillId="8" borderId="0" xfId="0" applyFont="1" applyFill="1" applyBorder="1" applyAlignment="1" applyProtection="1">
      <alignment vertical="center"/>
    </xf>
    <xf numFmtId="179" fontId="32" fillId="8" borderId="48" xfId="1" applyNumberFormat="1" applyFont="1" applyFill="1" applyBorder="1" applyAlignment="1" applyProtection="1">
      <alignment vertical="center"/>
    </xf>
    <xf numFmtId="0" fontId="0" fillId="8" borderId="43" xfId="0" applyFont="1" applyFill="1" applyBorder="1" applyAlignment="1" applyProtection="1">
      <alignment vertical="center"/>
    </xf>
    <xf numFmtId="179" fontId="31" fillId="0" borderId="173" xfId="0" applyNumberFormat="1" applyFont="1" applyBorder="1" applyAlignment="1" applyProtection="1">
      <alignment horizontal="right" vertical="center"/>
    </xf>
    <xf numFmtId="179" fontId="4" fillId="0" borderId="0" xfId="1" applyNumberFormat="1" applyFont="1" applyFill="1" applyBorder="1" applyAlignment="1" applyProtection="1">
      <protection locked="0"/>
    </xf>
    <xf numFmtId="0" fontId="31" fillId="0" borderId="207" xfId="0" applyFont="1" applyFill="1" applyBorder="1" applyAlignment="1" applyProtection="1">
      <alignment horizontal="center" vertical="center"/>
    </xf>
    <xf numFmtId="0" fontId="31" fillId="0" borderId="78" xfId="0" applyFont="1" applyFill="1" applyBorder="1" applyAlignment="1" applyProtection="1">
      <alignment horizontal="right" vertical="center"/>
    </xf>
    <xf numFmtId="41" fontId="31" fillId="0" borderId="79" xfId="0" applyNumberFormat="1" applyFont="1" applyFill="1" applyBorder="1" applyAlignment="1" applyProtection="1">
      <alignment horizontal="right" vertical="center"/>
    </xf>
    <xf numFmtId="0" fontId="31" fillId="0" borderId="80" xfId="0" applyFont="1" applyFill="1" applyBorder="1" applyAlignment="1" applyProtection="1">
      <alignment vertical="center"/>
    </xf>
    <xf numFmtId="0" fontId="31" fillId="0" borderId="81" xfId="0" applyFont="1" applyFill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179" fontId="4" fillId="5" borderId="107" xfId="1" applyNumberFormat="1" applyFont="1" applyFill="1" applyBorder="1" applyAlignment="1" applyProtection="1">
      <alignment horizontal="right" vertical="center"/>
    </xf>
    <xf numFmtId="0" fontId="7" fillId="0" borderId="47" xfId="0" applyFont="1" applyBorder="1" applyAlignment="1" applyProtection="1">
      <alignment vertical="center"/>
    </xf>
    <xf numFmtId="179" fontId="4" fillId="5" borderId="282" xfId="1" applyNumberFormat="1" applyFont="1" applyFill="1" applyBorder="1" applyAlignment="1" applyProtection="1">
      <alignment horizontal="right" vertical="center"/>
    </xf>
    <xf numFmtId="184" fontId="4" fillId="0" borderId="43" xfId="0" applyNumberFormat="1" applyFont="1" applyBorder="1" applyAlignment="1" applyProtection="1">
      <alignment horizontal="right" vertical="center"/>
    </xf>
    <xf numFmtId="0" fontId="7" fillId="0" borderId="246" xfId="0" applyFont="1" applyBorder="1" applyAlignment="1" applyProtection="1">
      <alignment vertical="center" shrinkToFit="1"/>
    </xf>
    <xf numFmtId="184" fontId="4" fillId="0" borderId="251" xfId="0" applyNumberFormat="1" applyFont="1" applyBorder="1" applyAlignment="1" applyProtection="1">
      <alignment horizontal="right" vertical="center"/>
    </xf>
    <xf numFmtId="0" fontId="33" fillId="0" borderId="0" xfId="0" applyFont="1" applyBorder="1" applyAlignment="1" applyProtection="1">
      <alignment vertical="top"/>
    </xf>
    <xf numFmtId="41" fontId="31" fillId="0" borderId="68" xfId="0" applyNumberFormat="1" applyFont="1" applyBorder="1" applyAlignment="1" applyProtection="1">
      <alignment vertical="center"/>
    </xf>
    <xf numFmtId="41" fontId="31" fillId="0" borderId="51" xfId="0" applyNumberFormat="1" applyFont="1" applyBorder="1" applyAlignment="1" applyProtection="1">
      <alignment vertical="center"/>
    </xf>
    <xf numFmtId="0" fontId="0" fillId="0" borderId="278" xfId="0" applyFont="1" applyBorder="1" applyAlignment="1" applyProtection="1">
      <alignment horizontal="left" vertical="center"/>
    </xf>
    <xf numFmtId="0" fontId="0" fillId="0" borderId="279" xfId="0" applyFont="1" applyBorder="1" applyAlignment="1" applyProtection="1">
      <alignment horizontal="left" vertical="center"/>
    </xf>
    <xf numFmtId="179" fontId="1" fillId="0" borderId="274" xfId="1" applyNumberFormat="1" applyFont="1" applyBorder="1" applyAlignment="1" applyProtection="1">
      <alignment vertical="center"/>
    </xf>
    <xf numFmtId="179" fontId="1" fillId="0" borderId="275" xfId="0" applyNumberFormat="1" applyFont="1" applyBorder="1" applyAlignment="1" applyProtection="1">
      <alignment vertical="center"/>
    </xf>
    <xf numFmtId="179" fontId="1" fillId="0" borderId="127" xfId="1" applyNumberFormat="1" applyFont="1" applyBorder="1" applyAlignment="1" applyProtection="1">
      <alignment vertical="center"/>
    </xf>
    <xf numFmtId="179" fontId="1" fillId="0" borderId="50" xfId="0" applyNumberFormat="1" applyFont="1" applyBorder="1" applyAlignment="1" applyProtection="1">
      <alignment vertical="center"/>
    </xf>
    <xf numFmtId="41" fontId="4" fillId="0" borderId="164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1" fontId="4" fillId="0" borderId="46" xfId="0" applyNumberFormat="1" applyFont="1" applyBorder="1" applyAlignment="1" applyProtection="1">
      <alignment vertical="center"/>
    </xf>
    <xf numFmtId="41" fontId="4" fillId="0" borderId="13" xfId="0" applyNumberFormat="1" applyFont="1" applyBorder="1" applyAlignment="1" applyProtection="1">
      <alignment vertical="center"/>
    </xf>
    <xf numFmtId="189" fontId="4" fillId="0" borderId="77" xfId="0" applyNumberFormat="1" applyFont="1" applyFill="1" applyBorder="1" applyAlignment="1" applyProtection="1">
      <alignment vertical="center"/>
    </xf>
    <xf numFmtId="0" fontId="4" fillId="0" borderId="86" xfId="0" applyFont="1" applyFill="1" applyBorder="1" applyAlignment="1" applyProtection="1">
      <alignment vertical="center"/>
    </xf>
    <xf numFmtId="0" fontId="4" fillId="0" borderId="206" xfId="0" applyFont="1" applyFill="1" applyBorder="1" applyAlignment="1" applyProtection="1">
      <alignment horizontal="center" vertical="center"/>
    </xf>
    <xf numFmtId="0" fontId="4" fillId="0" borderId="76" xfId="0" applyFont="1" applyFill="1" applyBorder="1" applyAlignment="1" applyProtection="1">
      <alignment vertical="center"/>
    </xf>
    <xf numFmtId="38" fontId="31" fillId="0" borderId="9" xfId="1" applyFont="1" applyFill="1" applyBorder="1" applyProtection="1"/>
    <xf numFmtId="38" fontId="31" fillId="0" borderId="14" xfId="1" applyFont="1" applyFill="1" applyBorder="1" applyProtection="1"/>
    <xf numFmtId="38" fontId="31" fillId="0" borderId="17" xfId="1" applyFont="1" applyFill="1" applyBorder="1" applyProtection="1"/>
    <xf numFmtId="179" fontId="0" fillId="0" borderId="210" xfId="0" applyNumberFormat="1" applyFont="1" applyFill="1" applyBorder="1" applyAlignment="1" applyProtection="1">
      <alignment horizontal="right" vertical="center"/>
    </xf>
    <xf numFmtId="0" fontId="9" fillId="0" borderId="166" xfId="0" applyFont="1" applyBorder="1" applyAlignment="1" applyProtection="1">
      <alignment horizontal="distributed" vertical="center" justifyLastLine="1"/>
    </xf>
    <xf numFmtId="0" fontId="9" fillId="0" borderId="167" xfId="0" applyFont="1" applyBorder="1" applyAlignment="1" applyProtection="1">
      <alignment horizontal="distributed" vertical="center" justifyLastLine="1"/>
    </xf>
    <xf numFmtId="0" fontId="9" fillId="0" borderId="170" xfId="0" applyFont="1" applyBorder="1" applyAlignment="1" applyProtection="1">
      <alignment horizontal="distributed" vertical="center" justifyLastLine="1"/>
    </xf>
    <xf numFmtId="0" fontId="0" fillId="0" borderId="143" xfId="0" applyFont="1" applyFill="1" applyBorder="1" applyAlignment="1" applyProtection="1">
      <alignment vertical="center" textRotation="255"/>
    </xf>
    <xf numFmtId="0" fontId="0" fillId="0" borderId="0" xfId="0" applyFont="1" applyFill="1" applyBorder="1" applyAlignment="1" applyProtection="1">
      <alignment vertical="center" textRotation="255"/>
    </xf>
    <xf numFmtId="0" fontId="0" fillId="0" borderId="11" xfId="0" applyFont="1" applyFill="1" applyBorder="1" applyAlignment="1" applyProtection="1">
      <alignment vertical="center" textRotation="255"/>
    </xf>
    <xf numFmtId="0" fontId="0" fillId="0" borderId="32" xfId="0" applyFont="1" applyBorder="1" applyAlignment="1" applyProtection="1">
      <alignment horizontal="center" vertical="center" textRotation="255"/>
    </xf>
    <xf numFmtId="0" fontId="4" fillId="0" borderId="276" xfId="0" applyFont="1" applyBorder="1" applyAlignment="1" applyProtection="1">
      <alignment vertical="center" wrapText="1"/>
    </xf>
    <xf numFmtId="0" fontId="4" fillId="0" borderId="277" xfId="0" applyFont="1" applyBorder="1" applyAlignment="1" applyProtection="1">
      <alignment vertical="center" wrapText="1"/>
    </xf>
    <xf numFmtId="0" fontId="4" fillId="0" borderId="274" xfId="0" applyFont="1" applyBorder="1" applyAlignment="1" applyProtection="1">
      <alignment vertical="center" wrapText="1"/>
    </xf>
    <xf numFmtId="0" fontId="4" fillId="17" borderId="266" xfId="0" applyFont="1" applyFill="1" applyBorder="1" applyAlignment="1" applyProtection="1">
      <alignment vertical="center"/>
    </xf>
    <xf numFmtId="0" fontId="4" fillId="17" borderId="268" xfId="0" applyFont="1" applyFill="1" applyBorder="1" applyAlignment="1" applyProtection="1">
      <alignment vertical="center"/>
    </xf>
    <xf numFmtId="0" fontId="4" fillId="17" borderId="258" xfId="0" applyFont="1" applyFill="1" applyBorder="1" applyAlignment="1" applyProtection="1">
      <alignment vertical="center"/>
    </xf>
    <xf numFmtId="0" fontId="0" fillId="0" borderId="168" xfId="0" applyFont="1" applyFill="1" applyBorder="1" applyAlignment="1" applyProtection="1">
      <alignment horizontal="center" vertical="center" textRotation="255" wrapText="1"/>
    </xf>
    <xf numFmtId="0" fontId="0" fillId="0" borderId="182" xfId="0" applyFont="1" applyFill="1" applyBorder="1" applyAlignment="1" applyProtection="1">
      <alignment horizontal="center" vertical="center" textRotation="255" wrapText="1"/>
    </xf>
    <xf numFmtId="0" fontId="0" fillId="0" borderId="168" xfId="0" applyFont="1" applyFill="1" applyBorder="1" applyAlignment="1" applyProtection="1">
      <alignment vertical="center" textRotation="255"/>
    </xf>
    <xf numFmtId="0" fontId="0" fillId="0" borderId="182" xfId="0" applyFont="1" applyFill="1" applyBorder="1" applyAlignment="1" applyProtection="1">
      <alignment vertical="center" textRotation="255"/>
    </xf>
    <xf numFmtId="0" fontId="4" fillId="0" borderId="269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vertical="center"/>
    </xf>
    <xf numFmtId="0" fontId="16" fillId="4" borderId="166" xfId="0" applyFont="1" applyFill="1" applyBorder="1" applyAlignment="1" applyProtection="1">
      <alignment horizontal="distributed" vertical="center" justifyLastLine="1"/>
    </xf>
    <xf numFmtId="0" fontId="16" fillId="4" borderId="167" xfId="0" applyFont="1" applyFill="1" applyBorder="1" applyAlignment="1" applyProtection="1">
      <alignment horizontal="distributed" vertical="center" justifyLastLine="1"/>
    </xf>
    <xf numFmtId="0" fontId="16" fillId="4" borderId="170" xfId="0" applyFont="1" applyFill="1" applyBorder="1" applyAlignment="1" applyProtection="1">
      <alignment horizontal="distributed" vertical="center" justifyLastLine="1"/>
    </xf>
    <xf numFmtId="0" fontId="4" fillId="17" borderId="264" xfId="0" applyFont="1" applyFill="1" applyBorder="1" applyAlignment="1" applyProtection="1">
      <alignment vertical="center"/>
    </xf>
    <xf numFmtId="0" fontId="4" fillId="17" borderId="15" xfId="0" applyFont="1" applyFill="1" applyBorder="1" applyAlignment="1" applyProtection="1">
      <alignment vertical="center"/>
    </xf>
    <xf numFmtId="0" fontId="4" fillId="17" borderId="33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4" fillId="17" borderId="265" xfId="0" applyFont="1" applyFill="1" applyBorder="1" applyAlignment="1" applyProtection="1">
      <alignment vertical="center"/>
    </xf>
    <xf numFmtId="0" fontId="4" fillId="17" borderId="267" xfId="0" applyFont="1" applyFill="1" applyBorder="1" applyAlignment="1" applyProtection="1">
      <alignment vertical="center"/>
    </xf>
    <xf numFmtId="0" fontId="4" fillId="17" borderId="253" xfId="0" applyFont="1" applyFill="1" applyBorder="1" applyAlignment="1" applyProtection="1">
      <alignment vertical="center"/>
    </xf>
    <xf numFmtId="179" fontId="9" fillId="5" borderId="103" xfId="1" applyNumberFormat="1" applyFont="1" applyFill="1" applyBorder="1" applyAlignment="1" applyProtection="1">
      <alignment vertical="center"/>
    </xf>
    <xf numFmtId="179" fontId="9" fillId="5" borderId="171" xfId="1" applyNumberFormat="1" applyFont="1" applyFill="1" applyBorder="1" applyAlignment="1" applyProtection="1">
      <alignment vertical="center"/>
    </xf>
    <xf numFmtId="179" fontId="0" fillId="5" borderId="257" xfId="1" applyNumberFormat="1" applyFont="1" applyFill="1" applyBorder="1" applyAlignment="1" applyProtection="1">
      <alignment vertical="center"/>
    </xf>
    <xf numFmtId="179" fontId="0" fillId="5" borderId="255" xfId="1" applyNumberFormat="1" applyFont="1" applyFill="1" applyBorder="1" applyAlignment="1" applyProtection="1">
      <alignment vertical="center"/>
    </xf>
    <xf numFmtId="179" fontId="0" fillId="5" borderId="12" xfId="1" applyNumberFormat="1" applyFont="1" applyFill="1" applyBorder="1" applyAlignment="1" applyProtection="1">
      <alignment vertical="center"/>
    </xf>
    <xf numFmtId="179" fontId="0" fillId="5" borderId="13" xfId="1" applyNumberFormat="1" applyFont="1" applyFill="1" applyBorder="1" applyAlignment="1" applyProtection="1">
      <alignment vertical="center"/>
    </xf>
    <xf numFmtId="179" fontId="0" fillId="0" borderId="196" xfId="1" applyNumberFormat="1" applyFont="1" applyFill="1" applyBorder="1" applyAlignment="1" applyProtection="1">
      <alignment horizontal="right" vertical="center"/>
    </xf>
    <xf numFmtId="179" fontId="0" fillId="0" borderId="164" xfId="1" applyNumberFormat="1" applyFont="1" applyFill="1" applyBorder="1" applyAlignment="1" applyProtection="1">
      <alignment horizontal="right" vertical="center"/>
    </xf>
    <xf numFmtId="179" fontId="0" fillId="17" borderId="15" xfId="0" applyNumberFormat="1" applyFont="1" applyFill="1" applyBorder="1" applyAlignment="1" applyProtection="1">
      <alignment vertical="center"/>
    </xf>
    <xf numFmtId="179" fontId="0" fillId="17" borderId="19" xfId="0" applyNumberFormat="1" applyFont="1" applyFill="1" applyBorder="1" applyAlignment="1" applyProtection="1">
      <alignment vertical="center"/>
    </xf>
    <xf numFmtId="179" fontId="0" fillId="17" borderId="31" xfId="1" applyNumberFormat="1" applyFont="1" applyFill="1" applyBorder="1" applyAlignment="1" applyProtection="1">
      <alignment vertical="center"/>
    </xf>
    <xf numFmtId="179" fontId="0" fillId="17" borderId="19" xfId="1" applyNumberFormat="1" applyFont="1" applyFill="1" applyBorder="1" applyAlignment="1" applyProtection="1">
      <alignment vertical="center"/>
    </xf>
    <xf numFmtId="179" fontId="0" fillId="17" borderId="12" xfId="1" applyNumberFormat="1" applyFont="1" applyFill="1" applyBorder="1" applyAlignment="1" applyProtection="1">
      <alignment vertical="center"/>
    </xf>
    <xf numFmtId="179" fontId="0" fillId="17" borderId="13" xfId="1" applyNumberFormat="1" applyFont="1" applyFill="1" applyBorder="1" applyAlignment="1" applyProtection="1">
      <alignment vertical="center"/>
    </xf>
    <xf numFmtId="179" fontId="0" fillId="17" borderId="257" xfId="1" applyNumberFormat="1" applyFont="1" applyFill="1" applyBorder="1" applyAlignment="1" applyProtection="1">
      <alignment vertical="center"/>
    </xf>
    <xf numFmtId="179" fontId="0" fillId="17" borderId="255" xfId="1" applyNumberFormat="1" applyFont="1" applyFill="1" applyBorder="1" applyAlignment="1" applyProtection="1">
      <alignment vertical="center"/>
    </xf>
    <xf numFmtId="179" fontId="0" fillId="5" borderId="45" xfId="1" applyNumberFormat="1" applyFont="1" applyFill="1" applyBorder="1" applyAlignment="1" applyProtection="1">
      <alignment vertical="center"/>
    </xf>
    <xf numFmtId="179" fontId="0" fillId="5" borderId="46" xfId="1" applyNumberFormat="1" applyFont="1" applyFill="1" applyBorder="1" applyAlignment="1" applyProtection="1">
      <alignment vertical="center"/>
    </xf>
    <xf numFmtId="179" fontId="0" fillId="5" borderId="216" xfId="1" applyNumberFormat="1" applyFont="1" applyFill="1" applyBorder="1" applyAlignment="1" applyProtection="1">
      <alignment vertical="center"/>
    </xf>
    <xf numFmtId="179" fontId="0" fillId="5" borderId="217" xfId="1" applyNumberFormat="1" applyFont="1" applyFill="1" applyBorder="1" applyAlignment="1" applyProtection="1">
      <alignment vertical="center"/>
    </xf>
    <xf numFmtId="179" fontId="0" fillId="17" borderId="262" xfId="1" applyNumberFormat="1" applyFont="1" applyFill="1" applyBorder="1" applyAlignment="1" applyProtection="1">
      <alignment vertical="center"/>
    </xf>
    <xf numFmtId="179" fontId="0" fillId="17" borderId="260" xfId="1" applyNumberFormat="1" applyFont="1" applyFill="1" applyBorder="1" applyAlignment="1" applyProtection="1">
      <alignment vertical="center"/>
    </xf>
    <xf numFmtId="179" fontId="0" fillId="5" borderId="271" xfId="1" applyNumberFormat="1" applyFont="1" applyFill="1" applyBorder="1" applyAlignment="1" applyProtection="1">
      <alignment vertical="center"/>
    </xf>
    <xf numFmtId="179" fontId="0" fillId="5" borderId="272" xfId="1" applyNumberFormat="1" applyFont="1" applyFill="1" applyBorder="1" applyAlignment="1" applyProtection="1">
      <alignment vertical="center"/>
    </xf>
    <xf numFmtId="0" fontId="16" fillId="4" borderId="184" xfId="0" applyFont="1" applyFill="1" applyBorder="1" applyAlignment="1" applyProtection="1">
      <alignment horizontal="center" vertical="center"/>
    </xf>
    <xf numFmtId="0" fontId="16" fillId="4" borderId="18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84" xfId="0" applyFont="1" applyBorder="1" applyAlignment="1" applyProtection="1">
      <alignment vertical="center"/>
    </xf>
    <xf numFmtId="0" fontId="4" fillId="0" borderId="212" xfId="0" applyFont="1" applyBorder="1" applyAlignment="1" applyProtection="1">
      <alignment vertical="center"/>
    </xf>
    <xf numFmtId="0" fontId="4" fillId="0" borderId="263" xfId="0" applyFont="1" applyBorder="1" applyAlignment="1" applyProtection="1">
      <alignment vertical="center"/>
    </xf>
    <xf numFmtId="0" fontId="4" fillId="0" borderId="197" xfId="0" applyFont="1" applyBorder="1" applyAlignment="1" applyProtection="1">
      <alignment vertical="center"/>
    </xf>
    <xf numFmtId="0" fontId="4" fillId="17" borderId="264" xfId="0" applyFont="1" applyFill="1" applyBorder="1" applyAlignment="1" applyProtection="1">
      <alignment vertical="center" wrapText="1"/>
    </xf>
    <xf numFmtId="0" fontId="4" fillId="17" borderId="15" xfId="0" applyFont="1" applyFill="1" applyBorder="1" applyAlignment="1" applyProtection="1">
      <alignment vertical="center" wrapText="1"/>
    </xf>
    <xf numFmtId="0" fontId="4" fillId="17" borderId="33" xfId="0" applyFont="1" applyFill="1" applyBorder="1" applyAlignment="1" applyProtection="1">
      <alignment vertical="center" wrapText="1"/>
    </xf>
    <xf numFmtId="0" fontId="16" fillId="4" borderId="142" xfId="0" applyFont="1" applyFill="1" applyBorder="1" applyAlignment="1" applyProtection="1">
      <alignment horizontal="center" vertical="center"/>
    </xf>
    <xf numFmtId="0" fontId="16" fillId="4" borderId="143" xfId="0" applyFont="1" applyFill="1" applyBorder="1" applyAlignment="1" applyProtection="1">
      <alignment horizontal="center" vertical="center"/>
    </xf>
    <xf numFmtId="0" fontId="16" fillId="4" borderId="161" xfId="0" applyFont="1" applyFill="1" applyBorder="1" applyAlignment="1" applyProtection="1">
      <alignment horizontal="center" vertical="center"/>
    </xf>
    <xf numFmtId="0" fontId="16" fillId="4" borderId="82" xfId="0" applyFont="1" applyFill="1" applyBorder="1" applyAlignment="1" applyProtection="1">
      <alignment horizontal="center" vertical="center"/>
    </xf>
    <xf numFmtId="0" fontId="16" fillId="4" borderId="84" xfId="0" applyFont="1" applyFill="1" applyBorder="1" applyAlignment="1" applyProtection="1">
      <alignment horizontal="center" vertical="center"/>
    </xf>
    <xf numFmtId="0" fontId="16" fillId="4" borderId="173" xfId="0" applyFont="1" applyFill="1" applyBorder="1" applyAlignment="1" applyProtection="1">
      <alignment horizontal="center" vertical="center"/>
    </xf>
    <xf numFmtId="179" fontId="0" fillId="0" borderId="159" xfId="1" applyNumberFormat="1" applyFont="1" applyFill="1" applyBorder="1" applyAlignment="1" applyProtection="1">
      <alignment vertical="center"/>
    </xf>
    <xf numFmtId="179" fontId="0" fillId="0" borderId="39" xfId="1" applyNumberFormat="1" applyFont="1" applyFill="1" applyBorder="1" applyAlignment="1" applyProtection="1">
      <alignment vertical="center"/>
    </xf>
    <xf numFmtId="179" fontId="0" fillId="0" borderId="44" xfId="1" applyNumberFormat="1" applyFont="1" applyFill="1" applyBorder="1" applyAlignment="1" applyProtection="1">
      <alignment vertical="center"/>
    </xf>
    <xf numFmtId="179" fontId="0" fillId="0" borderId="176" xfId="1" applyNumberFormat="1" applyFont="1" applyFill="1" applyBorder="1" applyAlignment="1" applyProtection="1">
      <alignment vertical="center"/>
    </xf>
    <xf numFmtId="179" fontId="0" fillId="0" borderId="224" xfId="1" applyNumberFormat="1" applyFont="1" applyFill="1" applyBorder="1" applyAlignment="1" applyProtection="1">
      <alignment vertical="center"/>
    </xf>
    <xf numFmtId="179" fontId="0" fillId="0" borderId="127" xfId="1" applyNumberFormat="1" applyFont="1" applyFill="1" applyBorder="1" applyAlignment="1" applyProtection="1">
      <alignment vertical="center"/>
    </xf>
    <xf numFmtId="179" fontId="0" fillId="0" borderId="163" xfId="1" applyNumberFormat="1" applyFont="1" applyFill="1" applyBorder="1" applyAlignment="1" applyProtection="1">
      <alignment horizontal="right" vertical="center"/>
    </xf>
    <xf numFmtId="179" fontId="0" fillId="0" borderId="197" xfId="1" applyNumberFormat="1" applyFont="1" applyFill="1" applyBorder="1" applyAlignment="1" applyProtection="1">
      <alignment horizontal="right" vertical="center"/>
    </xf>
    <xf numFmtId="179" fontId="0" fillId="17" borderId="49" xfId="0" applyNumberFormat="1" applyFont="1" applyFill="1" applyBorder="1" applyAlignment="1" applyProtection="1">
      <alignment vertical="center"/>
    </xf>
    <xf numFmtId="179" fontId="0" fillId="17" borderId="49" xfId="1" applyNumberFormat="1" applyFont="1" applyFill="1" applyBorder="1" applyAlignment="1" applyProtection="1">
      <alignment vertical="center"/>
    </xf>
    <xf numFmtId="179" fontId="0" fillId="17" borderId="33" xfId="1" applyNumberFormat="1" applyFont="1" applyFill="1" applyBorder="1" applyAlignment="1" applyProtection="1">
      <alignment vertical="center"/>
    </xf>
    <xf numFmtId="179" fontId="0" fillId="0" borderId="273" xfId="1" applyNumberFormat="1" applyFont="1" applyFill="1" applyBorder="1" applyAlignment="1" applyProtection="1">
      <alignment vertical="center"/>
    </xf>
    <xf numFmtId="179" fontId="0" fillId="0" borderId="274" xfId="1" applyNumberFormat="1" applyFont="1" applyFill="1" applyBorder="1" applyAlignment="1" applyProtection="1">
      <alignment vertical="center"/>
    </xf>
    <xf numFmtId="14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7" fillId="0" borderId="143" xfId="0" applyFont="1" applyBorder="1" applyAlignment="1" applyProtection="1">
      <alignment horizontal="right" vertical="center"/>
    </xf>
    <xf numFmtId="0" fontId="16" fillId="4" borderId="162" xfId="0" applyFont="1" applyFill="1" applyBorder="1" applyAlignment="1" applyProtection="1">
      <alignment horizontal="center" vertical="center"/>
    </xf>
    <xf numFmtId="0" fontId="16" fillId="4" borderId="169" xfId="0" applyFont="1" applyFill="1" applyBorder="1" applyAlignment="1" applyProtection="1">
      <alignment horizontal="center" vertical="center"/>
    </xf>
    <xf numFmtId="0" fontId="15" fillId="4" borderId="183" xfId="0" applyFont="1" applyFill="1" applyBorder="1" applyAlignment="1" applyProtection="1">
      <alignment horizontal="center" vertical="center"/>
    </xf>
    <xf numFmtId="0" fontId="16" fillId="4" borderId="174" xfId="0" applyFont="1" applyFill="1" applyBorder="1" applyAlignment="1" applyProtection="1">
      <alignment horizontal="center" vertical="center"/>
    </xf>
    <xf numFmtId="0" fontId="16" fillId="4" borderId="186" xfId="0" applyFont="1" applyFill="1" applyBorder="1" applyAlignment="1" applyProtection="1">
      <alignment horizontal="center" vertical="center"/>
    </xf>
    <xf numFmtId="0" fontId="16" fillId="4" borderId="187" xfId="0" applyFont="1" applyFill="1" applyBorder="1" applyAlignment="1" applyProtection="1">
      <alignment horizontal="center" vertical="center"/>
    </xf>
    <xf numFmtId="179" fontId="9" fillId="0" borderId="166" xfId="0" applyNumberFormat="1" applyFont="1" applyFill="1" applyBorder="1" applyAlignment="1" applyProtection="1">
      <alignment vertical="center"/>
    </xf>
    <xf numFmtId="179" fontId="9" fillId="0" borderId="170" xfId="0" applyNumberFormat="1" applyFont="1" applyFill="1" applyBorder="1" applyAlignment="1" applyProtection="1">
      <alignment vertical="center"/>
    </xf>
    <xf numFmtId="179" fontId="0" fillId="17" borderId="261" xfId="1" applyNumberFormat="1" applyFont="1" applyFill="1" applyBorder="1" applyAlignment="1" applyProtection="1">
      <alignment vertical="center"/>
    </xf>
    <xf numFmtId="179" fontId="0" fillId="17" borderId="258" xfId="1" applyNumberFormat="1" applyFont="1" applyFill="1" applyBorder="1" applyAlignment="1" applyProtection="1">
      <alignment vertical="center"/>
    </xf>
    <xf numFmtId="179" fontId="0" fillId="0" borderId="256" xfId="1" applyNumberFormat="1" applyFont="1" applyFill="1" applyBorder="1" applyAlignment="1" applyProtection="1">
      <alignment vertical="center"/>
    </xf>
    <xf numFmtId="179" fontId="0" fillId="0" borderId="253" xfId="1" applyNumberFormat="1" applyFont="1" applyFill="1" applyBorder="1" applyAlignment="1" applyProtection="1">
      <alignment vertical="center"/>
    </xf>
    <xf numFmtId="0" fontId="4" fillId="17" borderId="266" xfId="0" applyFont="1" applyFill="1" applyBorder="1" applyAlignment="1" applyProtection="1">
      <alignment vertical="center" wrapText="1"/>
    </xf>
    <xf numFmtId="0" fontId="4" fillId="17" borderId="268" xfId="0" applyFont="1" applyFill="1" applyBorder="1" applyAlignment="1" applyProtection="1">
      <alignment vertical="center" wrapText="1"/>
    </xf>
    <xf numFmtId="0" fontId="4" fillId="17" borderId="258" xfId="0" applyFont="1" applyFill="1" applyBorder="1" applyAlignment="1" applyProtection="1">
      <alignment vertical="center" wrapText="1"/>
    </xf>
    <xf numFmtId="0" fontId="4" fillId="0" borderId="265" xfId="0" applyFont="1" applyBorder="1" applyAlignment="1" applyProtection="1">
      <alignment vertical="center" wrapText="1"/>
    </xf>
    <xf numFmtId="0" fontId="4" fillId="0" borderId="267" xfId="0" applyFont="1" applyBorder="1" applyAlignment="1" applyProtection="1">
      <alignment vertical="center" wrapText="1"/>
    </xf>
    <xf numFmtId="0" fontId="4" fillId="0" borderId="253" xfId="0" applyFont="1" applyBorder="1" applyAlignment="1" applyProtection="1">
      <alignment vertical="center" wrapText="1"/>
    </xf>
    <xf numFmtId="0" fontId="4" fillId="0" borderId="270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 wrapText="1"/>
    </xf>
    <xf numFmtId="0" fontId="4" fillId="0" borderId="127" xfId="0" applyFont="1" applyBorder="1" applyAlignment="1" applyProtection="1">
      <alignment vertical="center" wrapText="1"/>
    </xf>
    <xf numFmtId="0" fontId="4" fillId="17" borderId="265" xfId="0" applyFont="1" applyFill="1" applyBorder="1" applyAlignment="1" applyProtection="1">
      <alignment vertical="center" wrapText="1"/>
    </xf>
    <xf numFmtId="0" fontId="4" fillId="17" borderId="267" xfId="0" applyFont="1" applyFill="1" applyBorder="1" applyAlignment="1" applyProtection="1">
      <alignment vertical="center" wrapText="1"/>
    </xf>
    <xf numFmtId="0" fontId="4" fillId="17" borderId="253" xfId="0" applyFont="1" applyFill="1" applyBorder="1" applyAlignment="1" applyProtection="1">
      <alignment vertical="center" wrapText="1"/>
    </xf>
    <xf numFmtId="179" fontId="0" fillId="17" borderId="224" xfId="1" applyNumberFormat="1" applyFont="1" applyFill="1" applyBorder="1" applyAlignment="1" applyProtection="1">
      <alignment vertical="center"/>
    </xf>
    <xf numFmtId="179" fontId="0" fillId="17" borderId="127" xfId="1" applyNumberFormat="1" applyFont="1" applyFill="1" applyBorder="1" applyAlignment="1" applyProtection="1">
      <alignment vertical="center"/>
    </xf>
    <xf numFmtId="179" fontId="0" fillId="17" borderId="256" xfId="1" applyNumberFormat="1" applyFont="1" applyFill="1" applyBorder="1" applyAlignment="1" applyProtection="1">
      <alignment vertical="center"/>
    </xf>
    <xf numFmtId="179" fontId="0" fillId="17" borderId="253" xfId="1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83" fontId="4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Border="1" applyAlignment="1" applyProtection="1">
      <alignment horizontal="right" vertical="center"/>
    </xf>
    <xf numFmtId="179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83" fontId="4" fillId="16" borderId="0" xfId="0" applyNumberFormat="1" applyFont="1" applyFill="1" applyBorder="1" applyAlignment="1" applyProtection="1">
      <alignment horizontal="center" vertical="center" shrinkToFit="1"/>
      <protection locked="0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7" fillId="0" borderId="188" xfId="0" applyFont="1" applyFill="1" applyBorder="1" applyAlignment="1" applyProtection="1">
      <alignment vertical="center" textRotation="255" wrapText="1"/>
    </xf>
    <xf numFmtId="0" fontId="7" fillId="0" borderId="168" xfId="0" applyFont="1" applyFill="1" applyBorder="1" applyAlignment="1" applyProtection="1">
      <alignment vertical="center" textRotation="255" wrapText="1"/>
    </xf>
    <xf numFmtId="0" fontId="7" fillId="0" borderId="182" xfId="0" applyFont="1" applyFill="1" applyBorder="1" applyAlignment="1" applyProtection="1">
      <alignment vertical="center" textRotation="255" wrapText="1"/>
    </xf>
    <xf numFmtId="0" fontId="13" fillId="0" borderId="227" xfId="0" applyFont="1" applyBorder="1" applyAlignment="1" applyProtection="1">
      <alignment vertical="center" textRotation="255"/>
    </xf>
    <xf numFmtId="0" fontId="13" fillId="0" borderId="114" xfId="0" applyFont="1" applyBorder="1" applyAlignment="1" applyProtection="1">
      <alignment vertical="center" textRotation="255"/>
    </xf>
    <xf numFmtId="0" fontId="13" fillId="0" borderId="209" xfId="0" applyFont="1" applyBorder="1" applyAlignment="1" applyProtection="1">
      <alignment vertical="center" textRotation="255"/>
    </xf>
    <xf numFmtId="41" fontId="4" fillId="0" borderId="231" xfId="0" applyNumberFormat="1" applyFont="1" applyBorder="1" applyAlignment="1" applyProtection="1">
      <alignment horizontal="center" vertical="center"/>
    </xf>
    <xf numFmtId="0" fontId="4" fillId="0" borderId="142" xfId="0" applyFont="1" applyFill="1" applyBorder="1" applyAlignment="1" applyProtection="1">
      <alignment vertical="center"/>
    </xf>
    <xf numFmtId="0" fontId="4" fillId="0" borderId="161" xfId="0" applyFont="1" applyFill="1" applyBorder="1" applyAlignment="1" applyProtection="1">
      <alignment vertical="center"/>
    </xf>
    <xf numFmtId="185" fontId="4" fillId="0" borderId="114" xfId="0" applyNumberFormat="1" applyFont="1" applyFill="1" applyBorder="1" applyAlignment="1" applyProtection="1">
      <alignment horizontal="center" vertical="center"/>
    </xf>
    <xf numFmtId="185" fontId="0" fillId="0" borderId="114" xfId="0" applyNumberFormat="1" applyFill="1" applyBorder="1" applyAlignment="1" applyProtection="1">
      <alignment horizontal="center" vertical="center"/>
    </xf>
    <xf numFmtId="185" fontId="0" fillId="0" borderId="175" xfId="0" applyNumberFormat="1" applyFill="1" applyBorder="1" applyAlignment="1" applyProtection="1">
      <alignment horizontal="center" vertical="center"/>
    </xf>
    <xf numFmtId="179" fontId="4" fillId="15" borderId="229" xfId="1" applyNumberFormat="1" applyFont="1" applyFill="1" applyBorder="1" applyAlignment="1" applyProtection="1">
      <alignment vertical="center"/>
    </xf>
    <xf numFmtId="179" fontId="4" fillId="15" borderId="230" xfId="1" applyNumberFormat="1" applyFont="1" applyFill="1" applyBorder="1" applyAlignment="1" applyProtection="1">
      <alignment vertical="center"/>
    </xf>
    <xf numFmtId="0" fontId="8" fillId="0" borderId="193" xfId="0" applyFont="1" applyFill="1" applyBorder="1" applyAlignment="1" applyProtection="1">
      <alignment horizontal="center" vertical="center"/>
    </xf>
    <xf numFmtId="0" fontId="8" fillId="0" borderId="194" xfId="0" applyFont="1" applyFill="1" applyBorder="1" applyAlignment="1" applyProtection="1">
      <alignment horizontal="center" vertical="center"/>
    </xf>
    <xf numFmtId="0" fontId="8" fillId="0" borderId="195" xfId="0" applyFont="1" applyFill="1" applyBorder="1" applyAlignment="1" applyProtection="1">
      <alignment horizontal="center" vertical="center"/>
    </xf>
    <xf numFmtId="179" fontId="8" fillId="0" borderId="201" xfId="1" applyNumberFormat="1" applyFont="1" applyFill="1" applyBorder="1" applyAlignment="1" applyProtection="1">
      <alignment horizontal="right" vertical="center"/>
    </xf>
    <xf numFmtId="179" fontId="8" fillId="0" borderId="191" xfId="1" applyNumberFormat="1" applyFont="1" applyFill="1" applyBorder="1" applyAlignment="1" applyProtection="1">
      <alignment horizontal="right" vertical="center"/>
    </xf>
    <xf numFmtId="179" fontId="8" fillId="0" borderId="190" xfId="1" applyNumberFormat="1" applyFont="1" applyFill="1" applyBorder="1" applyAlignment="1" applyProtection="1">
      <alignment horizontal="right" vertical="center"/>
    </xf>
    <xf numFmtId="179" fontId="8" fillId="0" borderId="192" xfId="1" applyNumberFormat="1" applyFont="1" applyFill="1" applyBorder="1" applyAlignment="1" applyProtection="1">
      <alignment horizontal="right" vertical="center"/>
    </xf>
    <xf numFmtId="0" fontId="0" fillId="0" borderId="188" xfId="0" applyFont="1" applyFill="1" applyBorder="1" applyAlignment="1" applyProtection="1">
      <alignment horizontal="center" vertical="center" textRotation="255"/>
    </xf>
    <xf numFmtId="0" fontId="0" fillId="0" borderId="168" xfId="0" applyFont="1" applyFill="1" applyBorder="1" applyAlignment="1" applyProtection="1">
      <alignment horizontal="center" vertical="center" textRotation="255"/>
    </xf>
    <xf numFmtId="0" fontId="0" fillId="0" borderId="72" xfId="0" applyFont="1" applyFill="1" applyBorder="1" applyAlignment="1" applyProtection="1">
      <alignment horizontal="center" vertical="center" textRotation="255"/>
    </xf>
    <xf numFmtId="0" fontId="4" fillId="15" borderId="138" xfId="0" applyFont="1" applyFill="1" applyBorder="1" applyAlignment="1" applyProtection="1">
      <alignment horizontal="center" vertical="center"/>
    </xf>
    <xf numFmtId="0" fontId="4" fillId="15" borderId="137" xfId="0" applyFont="1" applyFill="1" applyBorder="1" applyAlignment="1" applyProtection="1">
      <alignment horizontal="center" vertical="center"/>
    </xf>
    <xf numFmtId="0" fontId="4" fillId="15" borderId="139" xfId="0" applyFont="1" applyFill="1" applyBorder="1" applyAlignment="1" applyProtection="1">
      <alignment horizontal="center" vertical="center"/>
    </xf>
    <xf numFmtId="0" fontId="4" fillId="15" borderId="202" xfId="0" applyFont="1" applyFill="1" applyBorder="1" applyAlignment="1" applyProtection="1">
      <alignment horizontal="center" vertical="center"/>
    </xf>
    <xf numFmtId="0" fontId="4" fillId="15" borderId="203" xfId="0" applyFont="1" applyFill="1" applyBorder="1" applyAlignment="1" applyProtection="1">
      <alignment horizontal="center" vertical="center"/>
    </xf>
    <xf numFmtId="0" fontId="4" fillId="15" borderId="204" xfId="0" applyFont="1" applyFill="1" applyBorder="1" applyAlignment="1" applyProtection="1">
      <alignment horizontal="center" vertical="center"/>
    </xf>
    <xf numFmtId="179" fontId="4" fillId="15" borderId="228" xfId="1" applyNumberFormat="1" applyFont="1" applyFill="1" applyBorder="1" applyAlignment="1" applyProtection="1">
      <alignment vertical="center"/>
    </xf>
    <xf numFmtId="0" fontId="5" fillId="0" borderId="196" xfId="0" applyFont="1" applyFill="1" applyBorder="1" applyAlignment="1" applyProtection="1">
      <alignment horizontal="center" vertical="center"/>
    </xf>
    <xf numFmtId="0" fontId="5" fillId="0" borderId="197" xfId="0" applyFont="1" applyFill="1" applyBorder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top"/>
    </xf>
    <xf numFmtId="0" fontId="4" fillId="0" borderId="227" xfId="0" applyFont="1" applyBorder="1" applyAlignment="1" applyProtection="1">
      <alignment horizontal="center" vertical="center"/>
    </xf>
    <xf numFmtId="0" fontId="4" fillId="0" borderId="114" xfId="0" applyFont="1" applyBorder="1" applyAlignment="1" applyProtection="1">
      <alignment horizontal="center" vertical="center"/>
    </xf>
    <xf numFmtId="0" fontId="4" fillId="0" borderId="209" xfId="0" applyFont="1" applyBorder="1" applyAlignment="1" applyProtection="1">
      <alignment horizontal="center" vertical="center"/>
    </xf>
    <xf numFmtId="0" fontId="4" fillId="15" borderId="31" xfId="0" applyFont="1" applyFill="1" applyBorder="1" applyAlignment="1" applyProtection="1">
      <alignment horizontal="center" vertical="center"/>
    </xf>
    <xf numFmtId="0" fontId="4" fillId="15" borderId="15" xfId="0" applyFont="1" applyFill="1" applyBorder="1" applyAlignment="1" applyProtection="1">
      <alignment horizontal="center" vertical="center"/>
    </xf>
    <xf numFmtId="0" fontId="4" fillId="15" borderId="19" xfId="0" applyFont="1" applyFill="1" applyBorder="1" applyAlignment="1" applyProtection="1">
      <alignment horizontal="center" vertical="center"/>
    </xf>
    <xf numFmtId="0" fontId="4" fillId="0" borderId="166" xfId="0" applyFont="1" applyBorder="1" applyAlignment="1" applyProtection="1">
      <alignment horizontal="center" vertical="center"/>
    </xf>
    <xf numFmtId="0" fontId="4" fillId="0" borderId="167" xfId="0" applyFont="1" applyBorder="1" applyAlignment="1" applyProtection="1">
      <alignment horizontal="center" vertical="center"/>
    </xf>
    <xf numFmtId="0" fontId="4" fillId="0" borderId="171" xfId="0" applyFont="1" applyBorder="1" applyAlignment="1" applyProtection="1">
      <alignment horizontal="center" vertical="center"/>
    </xf>
    <xf numFmtId="0" fontId="4" fillId="0" borderId="198" xfId="0" applyFont="1" applyBorder="1" applyAlignment="1" applyProtection="1">
      <alignment vertical="center" shrinkToFit="1"/>
    </xf>
    <xf numFmtId="0" fontId="0" fillId="0" borderId="199" xfId="0" applyBorder="1" applyAlignment="1" applyProtection="1">
      <alignment vertical="center" shrinkToFit="1"/>
    </xf>
    <xf numFmtId="0" fontId="0" fillId="0" borderId="200" xfId="0" applyBorder="1" applyAlignment="1" applyProtection="1">
      <alignment vertical="center" shrinkToFi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14" fontId="0" fillId="0" borderId="11" xfId="0" applyNumberFormat="1" applyFont="1" applyFill="1" applyBorder="1" applyAlignment="1" applyProtection="1">
      <alignment horizontal="center"/>
    </xf>
    <xf numFmtId="0" fontId="4" fillId="0" borderId="188" xfId="0" applyFont="1" applyFill="1" applyBorder="1" applyAlignment="1" applyProtection="1">
      <alignment horizontal="center" vertical="center" textRotation="255" wrapText="1"/>
    </xf>
    <xf numFmtId="0" fontId="4" fillId="0" borderId="168" xfId="0" applyFont="1" applyFill="1" applyBorder="1" applyAlignment="1" applyProtection="1">
      <alignment horizontal="center" vertical="center" textRotation="255" wrapText="1"/>
    </xf>
    <xf numFmtId="0" fontId="4" fillId="0" borderId="182" xfId="0" applyFont="1" applyFill="1" applyBorder="1" applyAlignment="1" applyProtection="1">
      <alignment horizontal="center" vertical="center" textRotation="255" wrapText="1"/>
    </xf>
    <xf numFmtId="0" fontId="4" fillId="15" borderId="37" xfId="0" applyFont="1" applyFill="1" applyBorder="1" applyAlignment="1" applyProtection="1">
      <alignment horizontal="center" vertical="center"/>
    </xf>
    <xf numFmtId="0" fontId="4" fillId="15" borderId="20" xfId="0" applyFont="1" applyFill="1" applyBorder="1" applyAlignment="1" applyProtection="1">
      <alignment horizontal="center" vertical="center"/>
    </xf>
    <xf numFmtId="0" fontId="4" fillId="15" borderId="68" xfId="0" applyFont="1" applyFill="1" applyBorder="1" applyAlignment="1" applyProtection="1">
      <alignment horizontal="center" vertical="center"/>
    </xf>
    <xf numFmtId="0" fontId="4" fillId="0" borderId="14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5" fillId="0" borderId="164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10" fillId="4" borderId="166" xfId="0" applyFont="1" applyFill="1" applyBorder="1" applyAlignment="1" applyProtection="1">
      <alignment horizontal="distributed" vertical="center" justifyLastLine="1"/>
    </xf>
    <xf numFmtId="0" fontId="10" fillId="4" borderId="167" xfId="0" applyFont="1" applyFill="1" applyBorder="1" applyAlignment="1" applyProtection="1">
      <alignment horizontal="distributed" vertical="center" justifyLastLine="1"/>
    </xf>
    <xf numFmtId="0" fontId="10" fillId="4" borderId="171" xfId="0" applyFont="1" applyFill="1" applyBorder="1" applyAlignment="1" applyProtection="1">
      <alignment horizontal="distributed" vertical="center" justifyLastLine="1"/>
    </xf>
    <xf numFmtId="0" fontId="5" fillId="0" borderId="163" xfId="0" applyFont="1" applyFill="1" applyBorder="1" applyAlignment="1" applyProtection="1">
      <alignment horizontal="center" vertical="center"/>
    </xf>
    <xf numFmtId="0" fontId="10" fillId="11" borderId="183" xfId="0" applyFont="1" applyFill="1" applyBorder="1" applyAlignment="1" applyProtection="1">
      <alignment horizontal="center" vertical="center" wrapText="1"/>
    </xf>
    <xf numFmtId="0" fontId="10" fillId="11" borderId="114" xfId="0" applyFont="1" applyFill="1" applyBorder="1" applyAlignment="1" applyProtection="1">
      <alignment horizontal="center" vertical="center" wrapText="1"/>
    </xf>
    <xf numFmtId="0" fontId="10" fillId="11" borderId="218" xfId="0" applyFont="1" applyFill="1" applyBorder="1" applyAlignment="1" applyProtection="1">
      <alignment horizontal="center" vertical="center" wrapText="1"/>
    </xf>
    <xf numFmtId="0" fontId="17" fillId="11" borderId="162" xfId="0" applyFont="1" applyFill="1" applyBorder="1" applyAlignment="1" applyProtection="1">
      <alignment horizontal="center" vertical="center" wrapText="1"/>
    </xf>
    <xf numFmtId="0" fontId="17" fillId="11" borderId="73" xfId="0" applyFont="1" applyFill="1" applyBorder="1" applyAlignment="1" applyProtection="1">
      <alignment horizontal="center" vertical="center" wrapText="1"/>
    </xf>
    <xf numFmtId="0" fontId="10" fillId="11" borderId="188" xfId="0" applyFont="1" applyFill="1" applyBorder="1" applyAlignment="1" applyProtection="1">
      <alignment horizontal="center" vertical="center"/>
    </xf>
    <xf numFmtId="0" fontId="10" fillId="11" borderId="72" xfId="0" applyFont="1" applyFill="1" applyBorder="1" applyAlignment="1" applyProtection="1">
      <alignment horizontal="center" vertical="center"/>
    </xf>
    <xf numFmtId="0" fontId="10" fillId="11" borderId="183" xfId="0" applyFont="1" applyFill="1" applyBorder="1" applyAlignment="1" applyProtection="1">
      <alignment horizontal="center" vertical="center"/>
    </xf>
    <xf numFmtId="0" fontId="10" fillId="11" borderId="218" xfId="0" applyFont="1" applyFill="1" applyBorder="1" applyAlignment="1" applyProtection="1">
      <alignment horizontal="center" vertical="center"/>
    </xf>
    <xf numFmtId="0" fontId="10" fillId="11" borderId="162" xfId="0" applyFont="1" applyFill="1" applyBorder="1" applyAlignment="1" applyProtection="1">
      <alignment horizontal="center" vertical="center" wrapText="1"/>
    </xf>
    <xf numFmtId="0" fontId="10" fillId="11" borderId="175" xfId="0" applyFont="1" applyFill="1" applyBorder="1" applyAlignment="1" applyProtection="1">
      <alignment horizontal="center" vertical="center" wrapText="1"/>
    </xf>
    <xf numFmtId="0" fontId="10" fillId="11" borderId="73" xfId="0" applyFont="1" applyFill="1" applyBorder="1" applyAlignment="1" applyProtection="1">
      <alignment horizontal="center" vertical="center" wrapText="1"/>
    </xf>
    <xf numFmtId="0" fontId="10" fillId="11" borderId="21" xfId="0" applyFont="1" applyFill="1" applyBorder="1" applyAlignment="1" applyProtection="1">
      <alignment horizontal="center" vertical="center"/>
    </xf>
    <xf numFmtId="0" fontId="10" fillId="11" borderId="157" xfId="0" applyFont="1" applyFill="1" applyBorder="1" applyAlignment="1" applyProtection="1">
      <alignment horizontal="center" vertical="center"/>
    </xf>
    <xf numFmtId="0" fontId="0" fillId="11" borderId="157" xfId="0" applyFill="1" applyBorder="1" applyAlignment="1">
      <alignment horizontal="center" vertical="center"/>
    </xf>
    <xf numFmtId="0" fontId="10" fillId="11" borderId="163" xfId="0" applyFont="1" applyFill="1" applyBorder="1" applyAlignment="1" applyProtection="1">
      <alignment horizontal="center" vertical="center"/>
    </xf>
    <xf numFmtId="0" fontId="0" fillId="11" borderId="164" xfId="0" applyFill="1" applyBorder="1" applyAlignment="1">
      <alignment horizontal="center" vertical="center"/>
    </xf>
    <xf numFmtId="0" fontId="4" fillId="0" borderId="159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10" fillId="11" borderId="145" xfId="0" applyFont="1" applyFill="1" applyBorder="1" applyAlignment="1" applyProtection="1">
      <alignment horizontal="center" vertical="center"/>
    </xf>
    <xf numFmtId="0" fontId="10" fillId="11" borderId="126" xfId="0" applyFont="1" applyFill="1" applyBorder="1" applyAlignment="1" applyProtection="1">
      <alignment horizontal="center" vertical="center"/>
    </xf>
    <xf numFmtId="0" fontId="17" fillId="11" borderId="183" xfId="0" applyFont="1" applyFill="1" applyBorder="1" applyAlignment="1" applyProtection="1">
      <alignment horizontal="center" vertical="center" wrapText="1"/>
    </xf>
    <xf numFmtId="0" fontId="17" fillId="11" borderId="114" xfId="0" applyFont="1" applyFill="1" applyBorder="1" applyAlignment="1" applyProtection="1">
      <alignment horizontal="center" vertical="center" wrapText="1"/>
    </xf>
    <xf numFmtId="0" fontId="17" fillId="11" borderId="218" xfId="0" applyFont="1" applyFill="1" applyBorder="1" applyAlignment="1" applyProtection="1">
      <alignment horizontal="center" vertical="center" wrapText="1"/>
    </xf>
    <xf numFmtId="0" fontId="4" fillId="11" borderId="188" xfId="0" applyFont="1" applyFill="1" applyBorder="1" applyAlignment="1" applyProtection="1">
      <alignment vertical="center"/>
    </xf>
    <xf numFmtId="0" fontId="4" fillId="11" borderId="168" xfId="0" applyFont="1" applyFill="1" applyBorder="1" applyAlignment="1" applyProtection="1">
      <alignment vertical="center"/>
    </xf>
    <xf numFmtId="0" fontId="4" fillId="11" borderId="72" xfId="0" applyFont="1" applyFill="1" applyBorder="1" applyAlignment="1" applyProtection="1">
      <alignment vertical="center"/>
    </xf>
  </cellXfs>
  <cellStyles count="3">
    <cellStyle name="桁区切り" xfId="1" builtinId="6"/>
    <cellStyle name="標準" xfId="0" builtinId="0"/>
    <cellStyle name="標準_【キャッシュフロー用】受入経費試算4-1" xfId="2"/>
  </cellStyles>
  <dxfs count="30">
    <dxf>
      <font>
        <color theme="0"/>
      </font>
    </dxf>
    <dxf>
      <font>
        <color rgb="FFFFCC99"/>
      </font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theme="4" tint="0.799981688894314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CC99"/>
      <color rgb="FF0000FF"/>
      <color rgb="FF666699"/>
      <color rgb="FF3399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5" fmlaLink="計算シート!$B$26" fmlaRange="計算シート!$C$28:$C$30" noThreeD="1" sel="2" val="0"/>
</file>

<file path=xl/ctrlProps/ctrlProp2.xml><?xml version="1.0" encoding="utf-8"?>
<formControlPr xmlns="http://schemas.microsoft.com/office/spreadsheetml/2009/9/main" objectType="Drop" dropLines="6" dropStyle="combo" dx="15" fmlaLink="計算シート!$B$35" fmlaRange="計算シート!$C$37:$C$42" noThreeD="1" sel="6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455544</xdr:colOff>
      <xdr:row>39</xdr:row>
      <xdr:rowOff>5</xdr:rowOff>
    </xdr:from>
    <xdr:to>
      <xdr:col>26</xdr:col>
      <xdr:colOff>4</xdr:colOff>
      <xdr:row>39</xdr:row>
      <xdr:rowOff>8282</xdr:rowOff>
    </xdr:to>
    <xdr:cxnSp macro="">
      <xdr:nvCxnSpPr>
        <xdr:cNvPr id="55" name="直線コネクタ 54"/>
        <xdr:cNvCxnSpPr/>
      </xdr:nvCxnSpPr>
      <xdr:spPr bwMode="auto">
        <a:xfrm flipH="1">
          <a:off x="16581783" y="9110875"/>
          <a:ext cx="356156" cy="8277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7</xdr:row>
          <xdr:rowOff>123825</xdr:rowOff>
        </xdr:from>
        <xdr:to>
          <xdr:col>14</xdr:col>
          <xdr:colOff>257175</xdr:colOff>
          <xdr:row>8</xdr:row>
          <xdr:rowOff>123825</xdr:rowOff>
        </xdr:to>
        <xdr:sp macro="" textlink="">
          <xdr:nvSpPr>
            <xdr:cNvPr id="2578" name="Drop Down 530" hidden="1">
              <a:extLst>
                <a:ext uri="{63B3BB69-23CF-44E3-9099-C40C66FF867C}">
                  <a14:compatExt spid="_x0000_s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6</xdr:row>
          <xdr:rowOff>0</xdr:rowOff>
        </xdr:from>
        <xdr:to>
          <xdr:col>14</xdr:col>
          <xdr:colOff>247650</xdr:colOff>
          <xdr:row>7</xdr:row>
          <xdr:rowOff>9525</xdr:rowOff>
        </xdr:to>
        <xdr:sp macro="" textlink="">
          <xdr:nvSpPr>
            <xdr:cNvPr id="2574" name="Drop Down 526" hidden="1">
              <a:extLst>
                <a:ext uri="{63B3BB69-23CF-44E3-9099-C40C66FF867C}">
                  <a14:compatExt spid="_x0000_s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3</xdr:row>
      <xdr:rowOff>104776</xdr:rowOff>
    </xdr:from>
    <xdr:to>
      <xdr:col>16</xdr:col>
      <xdr:colOff>9524</xdr:colOff>
      <xdr:row>17</xdr:row>
      <xdr:rowOff>226220</xdr:rowOff>
    </xdr:to>
    <xdr:sp macro="" textlink="">
      <xdr:nvSpPr>
        <xdr:cNvPr id="2" name="正方形/長方形 1"/>
        <xdr:cNvSpPr/>
      </xdr:nvSpPr>
      <xdr:spPr bwMode="auto">
        <a:xfrm>
          <a:off x="9525" y="831057"/>
          <a:ext cx="8929687" cy="3455194"/>
        </a:xfrm>
        <a:prstGeom prst="rect">
          <a:avLst/>
        </a:prstGeom>
        <a:noFill/>
        <a:ln w="19050" cap="sq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559594</xdr:colOff>
      <xdr:row>16</xdr:row>
      <xdr:rowOff>50006</xdr:rowOff>
    </xdr:from>
    <xdr:to>
      <xdr:col>15</xdr:col>
      <xdr:colOff>204788</xdr:colOff>
      <xdr:row>16</xdr:row>
      <xdr:rowOff>50006</xdr:rowOff>
    </xdr:to>
    <xdr:sp macro="" textlink="">
      <xdr:nvSpPr>
        <xdr:cNvPr id="30" name="Line 515"/>
        <xdr:cNvSpPr>
          <a:spLocks noChangeShapeType="1"/>
        </xdr:cNvSpPr>
      </xdr:nvSpPr>
      <xdr:spPr bwMode="auto">
        <a:xfrm>
          <a:off x="4893469" y="3871912"/>
          <a:ext cx="350281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297652</xdr:colOff>
      <xdr:row>44</xdr:row>
      <xdr:rowOff>0</xdr:rowOff>
    </xdr:from>
    <xdr:to>
      <xdr:col>25</xdr:col>
      <xdr:colOff>369093</xdr:colOff>
      <xdr:row>50</xdr:row>
      <xdr:rowOff>0</xdr:rowOff>
    </xdr:to>
    <xdr:sp macro="" textlink="">
      <xdr:nvSpPr>
        <xdr:cNvPr id="44" name="右矢印 43"/>
        <xdr:cNvSpPr/>
      </xdr:nvSpPr>
      <xdr:spPr>
        <a:xfrm rot="10800000">
          <a:off x="14728027" y="10298906"/>
          <a:ext cx="1845472" cy="142875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171450</xdr:colOff>
      <xdr:row>36</xdr:row>
      <xdr:rowOff>195262</xdr:rowOff>
    </xdr:from>
    <xdr:to>
      <xdr:col>16</xdr:col>
      <xdr:colOff>108450</xdr:colOff>
      <xdr:row>38</xdr:row>
      <xdr:rowOff>208162</xdr:rowOff>
    </xdr:to>
    <xdr:sp macro="" textlink="">
      <xdr:nvSpPr>
        <xdr:cNvPr id="38" name="AutoShape 60"/>
        <xdr:cNvSpPr>
          <a:spLocks noChangeArrowheads="1"/>
        </xdr:cNvSpPr>
      </xdr:nvSpPr>
      <xdr:spPr bwMode="auto">
        <a:xfrm>
          <a:off x="7467600" y="8367712"/>
          <a:ext cx="1080000" cy="4891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57151</xdr:colOff>
      <xdr:row>38</xdr:row>
      <xdr:rowOff>190050</xdr:rowOff>
    </xdr:from>
    <xdr:to>
      <xdr:col>15</xdr:col>
      <xdr:colOff>178595</xdr:colOff>
      <xdr:row>43</xdr:row>
      <xdr:rowOff>114300</xdr:rowOff>
    </xdr:to>
    <xdr:sp macro="" textlink="">
      <xdr:nvSpPr>
        <xdr:cNvPr id="41" name="Freeform 209"/>
        <xdr:cNvSpPr>
          <a:spLocks/>
        </xdr:cNvSpPr>
      </xdr:nvSpPr>
      <xdr:spPr bwMode="auto">
        <a:xfrm>
          <a:off x="6210301" y="8838750"/>
          <a:ext cx="1835944" cy="1057725"/>
        </a:xfrm>
        <a:custGeom>
          <a:avLst/>
          <a:gdLst>
            <a:gd name="T0" fmla="*/ 2147483647 w 226"/>
            <a:gd name="T1" fmla="*/ 0 h 93"/>
            <a:gd name="T2" fmla="*/ 2147483647 w 226"/>
            <a:gd name="T3" fmla="*/ 2147483647 h 93"/>
            <a:gd name="T4" fmla="*/ 2147483647 w 226"/>
            <a:gd name="T5" fmla="*/ 2147483647 h 93"/>
            <a:gd name="T6" fmla="*/ 0 w 226"/>
            <a:gd name="T7" fmla="*/ 2147483647 h 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6" h="93">
              <a:moveTo>
                <a:pt x="226" y="0"/>
              </a:moveTo>
              <a:lnTo>
                <a:pt x="226" y="80"/>
              </a:lnTo>
              <a:lnTo>
                <a:pt x="226" y="93"/>
              </a:lnTo>
              <a:lnTo>
                <a:pt x="0" y="93"/>
              </a:lnTo>
            </a:path>
          </a:pathLst>
        </a:custGeom>
        <a:noFill/>
        <a:ln w="38100" cap="flat" cmpd="sng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45722</xdr:colOff>
      <xdr:row>44</xdr:row>
      <xdr:rowOff>209549</xdr:rowOff>
    </xdr:from>
    <xdr:to>
      <xdr:col>27</xdr:col>
      <xdr:colOff>261722</xdr:colOff>
      <xdr:row>51</xdr:row>
      <xdr:rowOff>2699</xdr:rowOff>
    </xdr:to>
    <xdr:sp macro="" textlink="">
      <xdr:nvSpPr>
        <xdr:cNvPr id="33" name="左中かっこ 32"/>
        <xdr:cNvSpPr/>
      </xdr:nvSpPr>
      <xdr:spPr bwMode="auto">
        <a:xfrm flipH="1">
          <a:off x="18409922" y="10229849"/>
          <a:ext cx="216000" cy="14600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455083</xdr:colOff>
      <xdr:row>29</xdr:row>
      <xdr:rowOff>7500</xdr:rowOff>
    </xdr:from>
    <xdr:to>
      <xdr:col>17</xdr:col>
      <xdr:colOff>671083</xdr:colOff>
      <xdr:row>38</xdr:row>
      <xdr:rowOff>173550</xdr:rowOff>
    </xdr:to>
    <xdr:sp macro="" textlink="">
      <xdr:nvSpPr>
        <xdr:cNvPr id="45" name="左中かっこ 44"/>
        <xdr:cNvSpPr/>
      </xdr:nvSpPr>
      <xdr:spPr bwMode="auto">
        <a:xfrm>
          <a:off x="10399183" y="6751200"/>
          <a:ext cx="216000" cy="2280600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455083</xdr:colOff>
      <xdr:row>39</xdr:row>
      <xdr:rowOff>43500</xdr:rowOff>
    </xdr:from>
    <xdr:to>
      <xdr:col>17</xdr:col>
      <xdr:colOff>691302</xdr:colOff>
      <xdr:row>49</xdr:row>
      <xdr:rowOff>0</xdr:rowOff>
    </xdr:to>
    <xdr:sp macro="" textlink="">
      <xdr:nvSpPr>
        <xdr:cNvPr id="49" name="左中かっこ 48"/>
        <xdr:cNvSpPr/>
      </xdr:nvSpPr>
      <xdr:spPr bwMode="auto">
        <a:xfrm>
          <a:off x="10399183" y="9111300"/>
          <a:ext cx="236219" cy="2337750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17</xdr:col>
      <xdr:colOff>55494</xdr:colOff>
      <xdr:row>29</xdr:row>
      <xdr:rowOff>135825</xdr:rowOff>
    </xdr:from>
    <xdr:ext cx="385555" cy="2052000"/>
    <xdr:sp macro="" textlink="">
      <xdr:nvSpPr>
        <xdr:cNvPr id="46" name="テキスト ボックス 45"/>
        <xdr:cNvSpPr txBox="1"/>
      </xdr:nvSpPr>
      <xdr:spPr>
        <a:xfrm>
          <a:off x="9794807" y="6910481"/>
          <a:ext cx="385555" cy="20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spAutoFit/>
        </a:bodyPr>
        <a:lstStyle/>
        <a:p>
          <a:r>
            <a:rPr kumimoji="1" lang="ja-JP" altLang="en-US" sz="1100"/>
            <a:t>補助対象受入費</a:t>
          </a:r>
        </a:p>
      </xdr:txBody>
    </xdr:sp>
    <xdr:clientData/>
  </xdr:oneCellAnchor>
  <xdr:oneCellAnchor>
    <xdr:from>
      <xdr:col>27</xdr:col>
      <xdr:colOff>244185</xdr:colOff>
      <xdr:row>49</xdr:row>
      <xdr:rowOff>190501</xdr:rowOff>
    </xdr:from>
    <xdr:ext cx="386849" cy="275717"/>
    <xdr:sp macro="" textlink="">
      <xdr:nvSpPr>
        <xdr:cNvPr id="48" name="テキスト ボックス 47"/>
        <xdr:cNvSpPr txBox="1"/>
      </xdr:nvSpPr>
      <xdr:spPr>
        <a:xfrm>
          <a:off x="18341685" y="11680032"/>
          <a:ext cx="38684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latin typeface="+mj-ea"/>
              <a:ea typeface="+mj-ea"/>
            </a:rPr>
            <a:t>(B)</a:t>
          </a:r>
        </a:p>
      </xdr:txBody>
    </xdr:sp>
    <xdr:clientData/>
  </xdr:oneCellAnchor>
  <xdr:twoCellAnchor editAs="absolute">
    <xdr:from>
      <xdr:col>27</xdr:col>
      <xdr:colOff>235493</xdr:colOff>
      <xdr:row>45</xdr:row>
      <xdr:rowOff>199496</xdr:rowOff>
    </xdr:from>
    <xdr:to>
      <xdr:col>27</xdr:col>
      <xdr:colOff>621048</xdr:colOff>
      <xdr:row>49</xdr:row>
      <xdr:rowOff>181041</xdr:rowOff>
    </xdr:to>
    <xdr:sp macro="" textlink="">
      <xdr:nvSpPr>
        <xdr:cNvPr id="24" name="テキスト ボックス 23"/>
        <xdr:cNvSpPr txBox="1"/>
      </xdr:nvSpPr>
      <xdr:spPr>
        <a:xfrm>
          <a:off x="18332993" y="10736527"/>
          <a:ext cx="385555" cy="934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rtlCol="0" anchor="ctr" anchorCtr="1">
          <a:spAutoFit/>
        </a:bodyPr>
        <a:lstStyle/>
        <a:p>
          <a:r>
            <a:rPr kumimoji="1" lang="ja-JP" altLang="en-US" sz="1100" b="1"/>
            <a:t>企業負担金</a:t>
          </a:r>
        </a:p>
      </xdr:txBody>
    </xdr:sp>
    <xdr:clientData/>
  </xdr:twoCellAnchor>
  <xdr:twoCellAnchor editAs="oneCell">
    <xdr:from>
      <xdr:col>17</xdr:col>
      <xdr:colOff>55493</xdr:colOff>
      <xdr:row>40</xdr:row>
      <xdr:rowOff>96416</xdr:rowOff>
    </xdr:from>
    <xdr:to>
      <xdr:col>17</xdr:col>
      <xdr:colOff>484118</xdr:colOff>
      <xdr:row>47</xdr:row>
      <xdr:rowOff>103186</xdr:rowOff>
    </xdr:to>
    <xdr:sp macro="" textlink="">
      <xdr:nvSpPr>
        <xdr:cNvPr id="50" name="テキスト ボックス 49"/>
        <xdr:cNvSpPr txBox="1"/>
      </xdr:nvSpPr>
      <xdr:spPr>
        <a:xfrm>
          <a:off x="9794806" y="9442822"/>
          <a:ext cx="428625" cy="1673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/>
            <a:t>補助対象研修費</a:t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20</xdr:col>
      <xdr:colOff>0</xdr:colOff>
      <xdr:row>39</xdr:row>
      <xdr:rowOff>0</xdr:rowOff>
    </xdr:to>
    <xdr:cxnSp macro="">
      <xdr:nvCxnSpPr>
        <xdr:cNvPr id="51" name="直線コネクタ 50"/>
        <xdr:cNvCxnSpPr/>
      </xdr:nvCxnSpPr>
      <xdr:spPr bwMode="auto">
        <a:xfrm>
          <a:off x="11830050" y="9067800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31750</xdr:colOff>
      <xdr:row>29</xdr:row>
      <xdr:rowOff>0</xdr:rowOff>
    </xdr:from>
    <xdr:to>
      <xdr:col>20</xdr:col>
      <xdr:colOff>31750</xdr:colOff>
      <xdr:row>29</xdr:row>
      <xdr:rowOff>0</xdr:rowOff>
    </xdr:to>
    <xdr:cxnSp macro="">
      <xdr:nvCxnSpPr>
        <xdr:cNvPr id="52" name="直線コネクタ 51"/>
        <xdr:cNvCxnSpPr/>
      </xdr:nvCxnSpPr>
      <xdr:spPr bwMode="auto">
        <a:xfrm>
          <a:off x="11861800" y="6743700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10583</xdr:colOff>
      <xdr:row>32</xdr:row>
      <xdr:rowOff>10583</xdr:rowOff>
    </xdr:from>
    <xdr:to>
      <xdr:col>26</xdr:col>
      <xdr:colOff>0</xdr:colOff>
      <xdr:row>32</xdr:row>
      <xdr:rowOff>21167</xdr:rowOff>
    </xdr:to>
    <xdr:cxnSp macro="">
      <xdr:nvCxnSpPr>
        <xdr:cNvPr id="53" name="直線コネクタ 52"/>
        <xdr:cNvCxnSpPr/>
      </xdr:nvCxnSpPr>
      <xdr:spPr bwMode="auto">
        <a:xfrm>
          <a:off x="14488583" y="7468658"/>
          <a:ext cx="2713567" cy="1058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404812</xdr:colOff>
      <xdr:row>39</xdr:row>
      <xdr:rowOff>0</xdr:rowOff>
    </xdr:to>
    <xdr:cxnSp macro="">
      <xdr:nvCxnSpPr>
        <xdr:cNvPr id="54" name="直線コネクタ 53"/>
        <xdr:cNvCxnSpPr/>
      </xdr:nvCxnSpPr>
      <xdr:spPr bwMode="auto">
        <a:xfrm>
          <a:off x="14275594" y="9108281"/>
          <a:ext cx="40481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22</xdr:col>
      <xdr:colOff>154782</xdr:colOff>
      <xdr:row>27</xdr:row>
      <xdr:rowOff>214312</xdr:rowOff>
    </xdr:from>
    <xdr:ext cx="386851" cy="275717"/>
    <xdr:sp macro="" textlink="">
      <xdr:nvSpPr>
        <xdr:cNvPr id="57" name="テキスト ボックス 56"/>
        <xdr:cNvSpPr txBox="1"/>
      </xdr:nvSpPr>
      <xdr:spPr>
        <a:xfrm>
          <a:off x="13465970" y="6512718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①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22</xdr:col>
      <xdr:colOff>916781</xdr:colOff>
      <xdr:row>30</xdr:row>
      <xdr:rowOff>202408</xdr:rowOff>
    </xdr:from>
    <xdr:ext cx="386851" cy="275717"/>
    <xdr:sp macro="" textlink="">
      <xdr:nvSpPr>
        <xdr:cNvPr id="58" name="テキスト ボックス 57"/>
        <xdr:cNvSpPr txBox="1"/>
      </xdr:nvSpPr>
      <xdr:spPr>
        <a:xfrm>
          <a:off x="14227969" y="7215189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③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26</xdr:col>
      <xdr:colOff>851400</xdr:colOff>
      <xdr:row>43</xdr:row>
      <xdr:rowOff>190503</xdr:rowOff>
    </xdr:from>
    <xdr:ext cx="386851" cy="275717"/>
    <xdr:sp macro="" textlink="">
      <xdr:nvSpPr>
        <xdr:cNvPr id="61" name="テキスト ボックス 60"/>
        <xdr:cNvSpPr txBox="1"/>
      </xdr:nvSpPr>
      <xdr:spPr>
        <a:xfrm>
          <a:off x="17786850" y="10210803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②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23</xdr:col>
      <xdr:colOff>447334</xdr:colOff>
      <xdr:row>33</xdr:row>
      <xdr:rowOff>18950</xdr:rowOff>
    </xdr:from>
    <xdr:to>
      <xdr:col>25</xdr:col>
      <xdr:colOff>518773</xdr:colOff>
      <xdr:row>43</xdr:row>
      <xdr:rowOff>209111</xdr:rowOff>
    </xdr:to>
    <xdr:sp macro="" textlink="">
      <xdr:nvSpPr>
        <xdr:cNvPr id="34" name="右矢印 33"/>
        <xdr:cNvSpPr/>
      </xdr:nvSpPr>
      <xdr:spPr>
        <a:xfrm>
          <a:off x="14775655" y="7856664"/>
          <a:ext cx="1922011" cy="2557804"/>
        </a:xfrm>
        <a:prstGeom prst="rightArrow">
          <a:avLst>
            <a:gd name="adj1" fmla="val 50000"/>
            <a:gd name="adj2" fmla="val 49355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47623</xdr:colOff>
      <xdr:row>1</xdr:row>
      <xdr:rowOff>226219</xdr:rowOff>
    </xdr:from>
    <xdr:to>
      <xdr:col>20</xdr:col>
      <xdr:colOff>142875</xdr:colOff>
      <xdr:row>3</xdr:row>
      <xdr:rowOff>235744</xdr:rowOff>
    </xdr:to>
    <xdr:sp macro="" textlink="">
      <xdr:nvSpPr>
        <xdr:cNvPr id="10" name="Text Box 222"/>
        <xdr:cNvSpPr txBox="1">
          <a:spLocks noChangeArrowheads="1"/>
        </xdr:cNvSpPr>
      </xdr:nvSpPr>
      <xdr:spPr bwMode="auto">
        <a:xfrm>
          <a:off x="7215186" y="488157"/>
          <a:ext cx="556022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第一四半期に精算に関わる支払がある場合は、国庫補助金が入金されてからとなるため、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支払時期が第二四半期（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月以降）になることがあります。</a:t>
          </a:r>
        </a:p>
      </xdr:txBody>
    </xdr:sp>
    <xdr:clientData/>
  </xdr:twoCellAnchor>
  <xdr:twoCellAnchor>
    <xdr:from>
      <xdr:col>4</xdr:col>
      <xdr:colOff>304810</xdr:colOff>
      <xdr:row>2</xdr:row>
      <xdr:rowOff>19050</xdr:rowOff>
    </xdr:from>
    <xdr:to>
      <xdr:col>10</xdr:col>
      <xdr:colOff>523898</xdr:colOff>
      <xdr:row>3</xdr:row>
      <xdr:rowOff>152400</xdr:rowOff>
    </xdr:to>
    <xdr:grpSp>
      <xdr:nvGrpSpPr>
        <xdr:cNvPr id="11" name="Group 289"/>
        <xdr:cNvGrpSpPr>
          <a:grpSpLocks/>
        </xdr:cNvGrpSpPr>
      </xdr:nvGrpSpPr>
      <xdr:grpSpPr bwMode="auto">
        <a:xfrm>
          <a:off x="2736486" y="556932"/>
          <a:ext cx="4309236" cy="402292"/>
          <a:chOff x="311" y="40"/>
          <a:chExt cx="415" cy="32"/>
        </a:xfrm>
      </xdr:grpSpPr>
      <xdr:sp macro="" textlink="">
        <xdr:nvSpPr>
          <xdr:cNvPr id="12" name="Freeform 290"/>
          <xdr:cNvSpPr>
            <a:spLocks/>
          </xdr:cNvSpPr>
        </xdr:nvSpPr>
        <xdr:spPr bwMode="auto">
          <a:xfrm>
            <a:off x="31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" name="Freeform 291"/>
          <xdr:cNvSpPr>
            <a:spLocks/>
          </xdr:cNvSpPr>
        </xdr:nvSpPr>
        <xdr:spPr bwMode="auto">
          <a:xfrm flipH="1">
            <a:off x="72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65"/>
  <sheetViews>
    <sheetView showGridLines="0" tabSelected="1" zoomScaleNormal="100" zoomScaleSheetLayoutView="85" workbookViewId="0"/>
  </sheetViews>
  <sheetFormatPr defaultColWidth="9" defaultRowHeight="13.5" customHeight="1"/>
  <cols>
    <col min="1" max="2" width="5.625" style="179" customWidth="1"/>
    <col min="3" max="3" width="6" style="179" customWidth="1"/>
    <col min="4" max="4" width="3.125" style="179" customWidth="1"/>
    <col min="5" max="5" width="6.625" style="179" customWidth="1"/>
    <col min="6" max="6" width="8.625" style="179" customWidth="1"/>
    <col min="7" max="7" width="4.375" style="179" customWidth="1"/>
    <col min="8" max="8" width="4" style="179" customWidth="1"/>
    <col min="9" max="9" width="4.375" style="179" customWidth="1"/>
    <col min="10" max="11" width="8.625" style="179" customWidth="1"/>
    <col min="12" max="12" width="15.125" style="179" customWidth="1"/>
    <col min="13" max="13" width="8.625" style="179" customWidth="1"/>
    <col min="14" max="14" width="9.625" style="179" customWidth="1"/>
    <col min="15" max="15" width="8.625" style="179" customWidth="1"/>
    <col min="16" max="16" width="9.625" style="179" customWidth="1"/>
    <col min="17" max="17" width="10.625" style="180" customWidth="1"/>
    <col min="18" max="18" width="10.25" style="180" customWidth="1"/>
    <col min="19" max="19" width="15.625" style="469" customWidth="1"/>
    <col min="20" max="20" width="4.75" style="469" customWidth="1"/>
    <col min="21" max="21" width="10.625" style="469" customWidth="1"/>
    <col min="22" max="22" width="5.625" style="469" customWidth="1"/>
    <col min="23" max="23" width="12.625" style="469" customWidth="1"/>
    <col min="24" max="24" width="10.625" style="469" customWidth="1"/>
    <col min="25" max="25" width="13.625" style="469" customWidth="1"/>
    <col min="26" max="26" width="10.625" style="469" customWidth="1"/>
    <col min="27" max="27" width="15.25" style="469" customWidth="1"/>
    <col min="28" max="28" width="12.625" style="469" customWidth="1"/>
    <col min="29" max="29" width="4.5" style="179" customWidth="1"/>
    <col min="30" max="16384" width="9" style="179"/>
  </cols>
  <sheetData>
    <row r="1" spans="1:28" ht="20.100000000000001" customHeight="1">
      <c r="A1" s="178" t="s">
        <v>265</v>
      </c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ht="18.75" customHeight="1">
      <c r="S2" s="179"/>
      <c r="T2" s="179"/>
      <c r="U2" s="179"/>
      <c r="V2" s="179"/>
      <c r="W2" s="179"/>
      <c r="X2" s="179"/>
      <c r="Y2" s="179"/>
      <c r="Z2" s="179"/>
      <c r="AA2" s="179"/>
      <c r="AB2" s="179"/>
    </row>
    <row r="3" spans="1:28" ht="18.75" customHeight="1">
      <c r="A3" s="178" t="s">
        <v>238</v>
      </c>
      <c r="E3" s="181" t="s">
        <v>248</v>
      </c>
      <c r="F3" s="182"/>
      <c r="G3" s="176"/>
      <c r="H3" s="176"/>
      <c r="I3" s="176"/>
      <c r="N3" s="183" t="s">
        <v>241</v>
      </c>
      <c r="O3" s="756">
        <f ca="1">TODAY()</f>
        <v>44019</v>
      </c>
      <c r="P3" s="756"/>
      <c r="S3" s="436" t="s">
        <v>189</v>
      </c>
      <c r="T3" s="179"/>
      <c r="U3" s="179"/>
      <c r="V3" s="179"/>
      <c r="W3" s="179"/>
      <c r="X3" s="179"/>
      <c r="Y3" s="179"/>
      <c r="Z3" s="179"/>
      <c r="AA3" s="179"/>
      <c r="AB3" s="179"/>
    </row>
    <row r="4" spans="1:28" ht="18.75" customHeight="1">
      <c r="A4" s="184"/>
      <c r="B4" s="265"/>
      <c r="C4" s="265"/>
      <c r="D4" s="265"/>
      <c r="E4" s="265"/>
      <c r="F4" s="265"/>
      <c r="G4" s="265"/>
      <c r="H4" s="547"/>
      <c r="I4" s="547"/>
      <c r="J4" s="265"/>
      <c r="K4" s="265"/>
      <c r="L4" s="265"/>
      <c r="M4" s="265"/>
      <c r="N4" s="265"/>
      <c r="O4" s="265"/>
      <c r="P4" s="265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5" spans="1:28" ht="18.75" customHeight="1">
      <c r="A5" s="185" t="s">
        <v>133</v>
      </c>
      <c r="B5" s="265" t="s">
        <v>134</v>
      </c>
      <c r="C5" s="265"/>
      <c r="D5" s="265"/>
      <c r="F5" s="759"/>
      <c r="G5" s="759"/>
      <c r="H5" s="759"/>
      <c r="I5" s="759"/>
      <c r="J5" s="759"/>
      <c r="K5" s="759"/>
      <c r="P5" s="265"/>
      <c r="S5" s="437"/>
      <c r="T5" s="438" t="s">
        <v>190</v>
      </c>
      <c r="U5" s="439"/>
      <c r="V5" s="438" t="s">
        <v>191</v>
      </c>
      <c r="W5" s="440"/>
      <c r="X5" s="439"/>
      <c r="Y5" s="441" t="s">
        <v>192</v>
      </c>
      <c r="Z5" s="438" t="s">
        <v>193</v>
      </c>
      <c r="AA5" s="440"/>
      <c r="AB5" s="439"/>
    </row>
    <row r="6" spans="1:28" ht="18.75" customHeight="1">
      <c r="A6" s="185"/>
      <c r="C6" s="265"/>
      <c r="D6" s="265"/>
      <c r="E6" s="265"/>
      <c r="F6" s="265"/>
      <c r="G6" s="265"/>
      <c r="H6" s="547"/>
      <c r="I6" s="547"/>
      <c r="J6" s="265"/>
      <c r="K6" s="265"/>
      <c r="L6" s="265"/>
      <c r="M6" s="265"/>
      <c r="N6" s="265"/>
      <c r="O6" s="265"/>
      <c r="P6" s="265"/>
      <c r="S6" s="442" t="s">
        <v>194</v>
      </c>
      <c r="T6" s="443" t="s">
        <v>195</v>
      </c>
      <c r="U6" s="444"/>
      <c r="V6" s="443" t="s">
        <v>196</v>
      </c>
      <c r="W6" s="445"/>
      <c r="X6" s="444"/>
      <c r="Y6" s="446">
        <f>L26</f>
        <v>100000</v>
      </c>
      <c r="Z6" s="447" t="s">
        <v>197</v>
      </c>
      <c r="AA6" s="448"/>
      <c r="AB6" s="449"/>
    </row>
    <row r="7" spans="1:28" ht="18.75" customHeight="1">
      <c r="A7" s="185" t="s">
        <v>135</v>
      </c>
      <c r="B7" s="265" t="s">
        <v>136</v>
      </c>
      <c r="C7" s="265"/>
      <c r="D7" s="265"/>
      <c r="E7" s="265"/>
      <c r="F7" s="265"/>
      <c r="G7" s="265"/>
      <c r="H7" s="547"/>
      <c r="I7" s="547"/>
      <c r="J7" s="265"/>
      <c r="K7" s="265"/>
      <c r="L7" s="265"/>
      <c r="M7" s="265"/>
      <c r="N7" s="265"/>
      <c r="O7" s="265"/>
      <c r="P7" s="265"/>
      <c r="S7" s="450"/>
      <c r="T7" s="451" t="s">
        <v>198</v>
      </c>
      <c r="U7" s="452"/>
      <c r="V7" s="451" t="s">
        <v>199</v>
      </c>
      <c r="W7" s="453"/>
      <c r="X7" s="452"/>
      <c r="Y7" s="454">
        <f>L37</f>
        <v>2340</v>
      </c>
      <c r="Z7" s="451" t="s">
        <v>200</v>
      </c>
      <c r="AA7" s="453"/>
      <c r="AB7" s="455"/>
    </row>
    <row r="8" spans="1:28" ht="18.75" customHeight="1" thickBot="1">
      <c r="A8" s="185"/>
      <c r="C8" s="265"/>
      <c r="D8" s="265"/>
      <c r="G8" s="265"/>
      <c r="H8" s="547"/>
      <c r="I8" s="547"/>
      <c r="J8" s="265"/>
      <c r="K8" s="791" t="s">
        <v>137</v>
      </c>
      <c r="L8" s="789" t="s">
        <v>138</v>
      </c>
      <c r="M8" s="789"/>
      <c r="N8" s="789"/>
      <c r="O8" s="265"/>
      <c r="P8" s="265"/>
      <c r="S8" s="265"/>
      <c r="T8" s="265"/>
      <c r="U8" s="265"/>
      <c r="V8" s="265"/>
      <c r="W8" s="757" t="s">
        <v>201</v>
      </c>
      <c r="X8" s="758"/>
      <c r="Y8" s="456">
        <f>SUM(Y6:Y7)</f>
        <v>102340</v>
      </c>
      <c r="Z8" s="265"/>
      <c r="AA8" s="265"/>
      <c r="AB8" s="457"/>
    </row>
    <row r="9" spans="1:28" ht="18.75" customHeight="1">
      <c r="A9" s="185" t="s">
        <v>139</v>
      </c>
      <c r="B9" s="265" t="s">
        <v>140</v>
      </c>
      <c r="C9" s="265"/>
      <c r="D9" s="623"/>
      <c r="F9" s="790">
        <f>F13</f>
        <v>43935</v>
      </c>
      <c r="G9" s="790"/>
      <c r="H9" s="548"/>
      <c r="I9" s="548"/>
      <c r="J9" s="623"/>
      <c r="K9" s="791"/>
      <c r="L9" s="789"/>
      <c r="M9" s="789"/>
      <c r="N9" s="789"/>
      <c r="O9" s="186"/>
      <c r="P9" s="265"/>
      <c r="S9" s="179"/>
      <c r="T9" s="179"/>
      <c r="U9" s="179"/>
      <c r="V9" s="179"/>
      <c r="W9" s="179"/>
      <c r="X9" s="179"/>
      <c r="Y9" s="458"/>
      <c r="Z9" s="179"/>
      <c r="AA9" s="179"/>
      <c r="AB9" s="265"/>
    </row>
    <row r="10" spans="1:28" ht="18.75" customHeight="1">
      <c r="A10" s="185"/>
      <c r="L10" s="187" t="s">
        <v>141</v>
      </c>
      <c r="M10" s="265"/>
      <c r="O10" s="549">
        <v>3000</v>
      </c>
      <c r="P10" s="266" t="s">
        <v>142</v>
      </c>
      <c r="S10" s="459" t="s">
        <v>202</v>
      </c>
      <c r="T10" s="460" t="s">
        <v>203</v>
      </c>
      <c r="U10" s="460"/>
      <c r="V10" s="461" t="s">
        <v>204</v>
      </c>
      <c r="W10" s="462"/>
      <c r="X10" s="463"/>
      <c r="Y10" s="464">
        <f>IF(計算シート!$B$26=3,$L$32,0)</f>
        <v>0</v>
      </c>
      <c r="Z10" s="465" t="s">
        <v>205</v>
      </c>
      <c r="AA10" s="466"/>
      <c r="AB10" s="467"/>
    </row>
    <row r="11" spans="1:28" ht="18.75" customHeight="1" thickBot="1">
      <c r="A11" s="185" t="s">
        <v>143</v>
      </c>
      <c r="B11" s="265" t="s">
        <v>144</v>
      </c>
      <c r="C11" s="265"/>
      <c r="D11" s="623"/>
      <c r="F11" s="644">
        <f>DATEDIF($F$13,$I$13,"D")+1</f>
        <v>120</v>
      </c>
      <c r="G11" s="624" t="s">
        <v>145</v>
      </c>
      <c r="H11" s="624"/>
      <c r="I11" s="624"/>
      <c r="K11" s="265"/>
      <c r="L11" s="188" t="str">
        <f>"補助対象宿泊費 (上限"&amp;TEXT(【宿舎費_外部宿舎】,"#,###")&amp;"円／泊)："</f>
        <v>補助対象宿泊費 (上限6,280円／泊)：</v>
      </c>
      <c r="M11" s="189"/>
      <c r="O11" s="190">
        <f>IF($O$10&gt;【宿舎費_外部宿舎】,【宿舎費_外部宿舎】,$O$10)</f>
        <v>3000</v>
      </c>
      <c r="P11" s="191" t="s">
        <v>146</v>
      </c>
      <c r="S11" s="468"/>
      <c r="T11" s="265"/>
      <c r="U11" s="265"/>
      <c r="V11" s="265"/>
      <c r="W11" s="757" t="s">
        <v>244</v>
      </c>
      <c r="X11" s="758"/>
      <c r="Y11" s="456">
        <f>SUM(Y10:Y10)</f>
        <v>0</v>
      </c>
      <c r="Z11" s="265"/>
      <c r="AA11" s="265"/>
      <c r="AB11" s="457"/>
    </row>
    <row r="12" spans="1:28" ht="18.75" customHeight="1">
      <c r="A12" s="185"/>
      <c r="B12" s="192" t="s">
        <v>266</v>
      </c>
      <c r="C12" s="266"/>
      <c r="D12" s="193"/>
      <c r="E12" s="194"/>
      <c r="F12" s="194" t="s">
        <v>248</v>
      </c>
      <c r="G12" s="194"/>
      <c r="H12" s="194"/>
      <c r="I12" s="194"/>
      <c r="J12" s="194"/>
      <c r="K12" s="265"/>
      <c r="S12" s="179"/>
      <c r="T12" s="179"/>
      <c r="U12" s="179"/>
      <c r="V12" s="179"/>
      <c r="W12" s="179"/>
      <c r="X12" s="179"/>
      <c r="Y12" s="458"/>
      <c r="Z12" s="179"/>
      <c r="AA12" s="179"/>
      <c r="AB12" s="265"/>
    </row>
    <row r="13" spans="1:28" ht="18.75" customHeight="1">
      <c r="A13" s="185"/>
      <c r="B13" s="192" t="s">
        <v>147</v>
      </c>
      <c r="C13" s="265"/>
      <c r="D13" s="265"/>
      <c r="E13" s="265"/>
      <c r="F13" s="794">
        <v>43935</v>
      </c>
      <c r="G13" s="794"/>
      <c r="H13" s="550" t="s">
        <v>247</v>
      </c>
      <c r="I13" s="794">
        <v>44054</v>
      </c>
      <c r="J13" s="794"/>
      <c r="K13" s="195" t="s">
        <v>148</v>
      </c>
      <c r="L13" s="189" t="s">
        <v>149</v>
      </c>
      <c r="M13" s="265"/>
      <c r="N13" s="265"/>
      <c r="O13" s="265"/>
      <c r="P13" s="265"/>
      <c r="S13" s="196" t="s">
        <v>206</v>
      </c>
      <c r="T13" s="196" t="s">
        <v>207</v>
      </c>
      <c r="U13" s="197"/>
      <c r="V13" s="443" t="s">
        <v>208</v>
      </c>
      <c r="W13" s="445"/>
      <c r="X13" s="444"/>
      <c r="Y13" s="633">
        <f>SUM(L33:L34)</f>
        <v>313560</v>
      </c>
      <c r="Z13" s="443" t="s">
        <v>209</v>
      </c>
      <c r="AA13" s="445"/>
      <c r="AB13" s="444"/>
    </row>
    <row r="14" spans="1:28" ht="18.75" customHeight="1">
      <c r="A14" s="185"/>
      <c r="C14" s="265"/>
      <c r="D14" s="265"/>
      <c r="E14" s="265"/>
      <c r="F14" s="651" t="s">
        <v>263</v>
      </c>
      <c r="G14" s="198"/>
      <c r="H14" s="198"/>
      <c r="I14" s="198"/>
      <c r="J14" s="199"/>
      <c r="L14" s="192" t="s">
        <v>254</v>
      </c>
      <c r="M14" s="266"/>
      <c r="N14" s="266"/>
      <c r="O14" s="41">
        <v>1340</v>
      </c>
      <c r="P14" s="200" t="s">
        <v>150</v>
      </c>
      <c r="S14" s="201"/>
      <c r="T14" s="201"/>
      <c r="U14" s="202"/>
      <c r="V14" s="451" t="s">
        <v>210</v>
      </c>
      <c r="W14" s="453"/>
      <c r="X14" s="452"/>
      <c r="Y14" s="454">
        <f>L35</f>
        <v>124800</v>
      </c>
      <c r="Z14" s="451" t="s">
        <v>209</v>
      </c>
      <c r="AA14" s="453"/>
      <c r="AB14" s="452"/>
    </row>
    <row r="15" spans="1:28" ht="18.75" customHeight="1" thickBot="1">
      <c r="A15" s="185"/>
      <c r="B15" s="265"/>
      <c r="C15" s="265"/>
      <c r="D15" s="265"/>
      <c r="E15" s="265"/>
      <c r="F15" s="265"/>
      <c r="G15" s="203"/>
      <c r="H15" s="203"/>
      <c r="I15" s="203"/>
      <c r="L15" s="192" t="s">
        <v>257</v>
      </c>
      <c r="M15" s="32"/>
      <c r="N15" s="32"/>
      <c r="O15" s="41">
        <v>1000</v>
      </c>
      <c r="P15" s="200" t="s">
        <v>150</v>
      </c>
      <c r="S15" s="265"/>
      <c r="T15" s="265"/>
      <c r="U15" s="265"/>
      <c r="V15" s="265"/>
      <c r="W15" s="757" t="s">
        <v>201</v>
      </c>
      <c r="X15" s="758"/>
      <c r="Y15" s="456">
        <f>SUM(Y13:Y14)</f>
        <v>438360</v>
      </c>
      <c r="Z15" s="265"/>
      <c r="AA15" s="265"/>
      <c r="AB15" s="457"/>
    </row>
    <row r="16" spans="1:28" ht="18.75" customHeight="1">
      <c r="A16" s="185" t="s">
        <v>152</v>
      </c>
      <c r="B16" s="265" t="s">
        <v>153</v>
      </c>
      <c r="F16" s="795">
        <v>100000</v>
      </c>
      <c r="G16" s="795"/>
      <c r="H16" s="795"/>
      <c r="I16" s="795"/>
      <c r="J16" s="203" t="s">
        <v>150</v>
      </c>
      <c r="K16" s="265"/>
      <c r="L16" s="192"/>
      <c r="M16" s="266"/>
      <c r="N16" s="266"/>
      <c r="O16" s="638"/>
      <c r="P16" s="200"/>
      <c r="S16" s="179"/>
      <c r="T16" s="179"/>
      <c r="U16" s="179"/>
      <c r="V16" s="179"/>
      <c r="W16" s="179"/>
      <c r="X16" s="179"/>
      <c r="Y16" s="458"/>
      <c r="Z16" s="179"/>
      <c r="AA16" s="179"/>
      <c r="AB16" s="265"/>
    </row>
    <row r="17" spans="1:28" ht="18.75" customHeight="1">
      <c r="B17" s="204" t="s">
        <v>284</v>
      </c>
      <c r="L17" s="186"/>
      <c r="M17" s="186"/>
      <c r="N17" s="796" t="s">
        <v>154</v>
      </c>
      <c r="O17" s="792">
        <f>SUM(O14:O16)</f>
        <v>2340</v>
      </c>
      <c r="P17" s="793" t="s">
        <v>150</v>
      </c>
      <c r="S17" s="196" t="s">
        <v>211</v>
      </c>
      <c r="T17" s="196" t="s">
        <v>212</v>
      </c>
      <c r="U17" s="197"/>
      <c r="V17" s="443" t="s">
        <v>213</v>
      </c>
      <c r="W17" s="445"/>
      <c r="X17" s="444"/>
      <c r="Y17" s="446">
        <f>L36</f>
        <v>622800</v>
      </c>
      <c r="Z17" s="445" t="s">
        <v>214</v>
      </c>
      <c r="AA17" s="445"/>
      <c r="AB17" s="444"/>
    </row>
    <row r="18" spans="1:28" ht="18.75" customHeight="1">
      <c r="A18" s="185"/>
      <c r="K18" s="194"/>
      <c r="L18" s="265"/>
      <c r="M18" s="265"/>
      <c r="N18" s="796"/>
      <c r="O18" s="792"/>
      <c r="P18" s="793"/>
      <c r="S18" s="201"/>
      <c r="T18" s="201"/>
      <c r="U18" s="202"/>
      <c r="V18" s="451" t="s">
        <v>215</v>
      </c>
      <c r="W18" s="453"/>
      <c r="X18" s="452"/>
      <c r="Y18" s="454">
        <f>IF(計算シート!$B$26=2,$L$32,0)</f>
        <v>188400</v>
      </c>
      <c r="Z18" s="451" t="s">
        <v>216</v>
      </c>
      <c r="AA18" s="453"/>
      <c r="AB18" s="455"/>
    </row>
    <row r="19" spans="1:28" ht="18.75" customHeight="1" thickBot="1">
      <c r="A19" s="265"/>
      <c r="G19" s="203"/>
      <c r="H19" s="203"/>
      <c r="I19" s="203"/>
      <c r="J19" s="194"/>
      <c r="K19" s="194"/>
      <c r="O19" s="205"/>
      <c r="P19" s="1" t="s">
        <v>239</v>
      </c>
      <c r="S19" s="265"/>
      <c r="T19" s="265"/>
      <c r="U19" s="265"/>
      <c r="V19" s="265"/>
      <c r="W19" s="757" t="s">
        <v>201</v>
      </c>
      <c r="X19" s="757"/>
      <c r="Y19" s="456">
        <f>SUM(Y17:Y18)</f>
        <v>811200</v>
      </c>
      <c r="Z19" s="265"/>
      <c r="AA19" s="265"/>
      <c r="AB19" s="457"/>
    </row>
    <row r="20" spans="1:28" s="206" customFormat="1" ht="16.5" customHeight="1">
      <c r="C20" s="186"/>
      <c r="D20" s="186"/>
      <c r="E20" s="186"/>
      <c r="F20" s="186"/>
      <c r="G20" s="186"/>
      <c r="H20" s="186"/>
      <c r="I20" s="186"/>
      <c r="J20" s="186"/>
      <c r="K20" s="207"/>
      <c r="L20" s="186"/>
      <c r="M20" s="186"/>
      <c r="N20" s="186"/>
      <c r="O20" s="207"/>
      <c r="P20" s="207"/>
      <c r="Q20" s="180"/>
    </row>
    <row r="21" spans="1:28" ht="16.5" customHeight="1">
      <c r="A21" s="178" t="s">
        <v>156</v>
      </c>
      <c r="B21" s="268"/>
      <c r="C21" s="268"/>
      <c r="D21" s="268"/>
      <c r="M21" s="208"/>
      <c r="O21" s="209"/>
    </row>
    <row r="22" spans="1:28" ht="16.5" customHeight="1">
      <c r="A22" s="268"/>
      <c r="B22" s="729" t="s">
        <v>157</v>
      </c>
      <c r="C22" s="729"/>
      <c r="D22" s="729"/>
      <c r="E22" s="729"/>
      <c r="F22" s="729"/>
      <c r="G22" s="729"/>
      <c r="H22" s="729"/>
      <c r="I22" s="729"/>
      <c r="J22" s="729"/>
      <c r="K22" s="729"/>
      <c r="L22" s="729"/>
      <c r="M22" s="729"/>
      <c r="N22" s="729"/>
      <c r="O22" s="729"/>
      <c r="P22" s="729"/>
    </row>
    <row r="23" spans="1:28" ht="16.5" customHeight="1" thickBot="1">
      <c r="B23" s="730"/>
      <c r="C23" s="730"/>
      <c r="D23" s="730"/>
      <c r="E23" s="730"/>
      <c r="F23" s="730"/>
      <c r="G23" s="730"/>
      <c r="H23" s="730"/>
      <c r="I23" s="730"/>
      <c r="J23" s="730"/>
      <c r="K23" s="730"/>
      <c r="L23" s="730"/>
      <c r="M23" s="730"/>
      <c r="N23" s="730"/>
      <c r="O23" s="730"/>
      <c r="P23" s="730"/>
    </row>
    <row r="24" spans="1:28" ht="16.5" customHeight="1">
      <c r="B24" s="737" t="s">
        <v>158</v>
      </c>
      <c r="C24" s="738"/>
      <c r="D24" s="738"/>
      <c r="E24" s="738"/>
      <c r="F24" s="738"/>
      <c r="G24" s="738"/>
      <c r="H24" s="738"/>
      <c r="I24" s="739"/>
      <c r="J24" s="763" t="s">
        <v>159</v>
      </c>
      <c r="K24" s="763" t="s">
        <v>160</v>
      </c>
      <c r="L24" s="761" t="s">
        <v>0</v>
      </c>
      <c r="M24" s="727" t="s">
        <v>161</v>
      </c>
      <c r="N24" s="728"/>
      <c r="O24" s="765" t="s">
        <v>162</v>
      </c>
      <c r="P24" s="766"/>
    </row>
    <row r="25" spans="1:28" ht="16.5" customHeight="1" thickBot="1">
      <c r="B25" s="740"/>
      <c r="C25" s="741"/>
      <c r="D25" s="741"/>
      <c r="E25" s="741"/>
      <c r="F25" s="741"/>
      <c r="G25" s="741"/>
      <c r="H25" s="741"/>
      <c r="I25" s="742"/>
      <c r="J25" s="764"/>
      <c r="K25" s="764"/>
      <c r="L25" s="762"/>
      <c r="M25" s="210" t="s">
        <v>163</v>
      </c>
      <c r="N25" s="211">
        <f>VLOOKUP(【研修申込区分】,【研修申込区分別費用】,3,FALSE)</f>
        <v>0.66666666666666663</v>
      </c>
      <c r="O25" s="212" t="s">
        <v>164</v>
      </c>
      <c r="P25" s="213">
        <f>VLOOKUP(【研修申込区分】,【研修申込区分別費用】,4,FALSE)</f>
        <v>0.33333333333333337</v>
      </c>
      <c r="S25" s="436" t="s">
        <v>267</v>
      </c>
      <c r="T25" s="436"/>
      <c r="U25" s="436"/>
      <c r="V25" s="436"/>
      <c r="W25" s="206"/>
      <c r="X25" s="206"/>
      <c r="Y25" s="206"/>
      <c r="Z25" s="206"/>
      <c r="AA25" s="206"/>
      <c r="AB25" s="206"/>
    </row>
    <row r="26" spans="1:28" ht="18.75" customHeight="1">
      <c r="A26" s="627"/>
      <c r="B26" s="675" t="s">
        <v>165</v>
      </c>
      <c r="C26" s="214" t="s">
        <v>166</v>
      </c>
      <c r="D26" s="265"/>
      <c r="E26" s="265"/>
      <c r="F26" s="265"/>
      <c r="G26" s="731" t="s">
        <v>0</v>
      </c>
      <c r="H26" s="732"/>
      <c r="I26" s="733"/>
      <c r="J26" s="215"/>
      <c r="K26" s="216" t="s">
        <v>85</v>
      </c>
      <c r="L26" s="671">
        <f>IF(【研修申込区分】=6,$F$16,"補助対象外")</f>
        <v>100000</v>
      </c>
      <c r="M26" s="749">
        <f>IF(計算シート!B35=6,ROUNDDOWN(L26*$N$25,0),"補助対象外")</f>
        <v>66666</v>
      </c>
      <c r="N26" s="750"/>
      <c r="O26" s="709">
        <f>IF(計算シート!B35=6,ROUNDUP(L26*$P$25,0),"補助対象外")</f>
        <v>33334</v>
      </c>
      <c r="P26" s="710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</row>
    <row r="27" spans="1:28" ht="18.75" customHeight="1">
      <c r="A27" s="627"/>
      <c r="B27" s="676"/>
      <c r="C27" s="678" t="s">
        <v>167</v>
      </c>
      <c r="D27" s="561" t="s">
        <v>168</v>
      </c>
      <c r="E27" s="570"/>
      <c r="F27" s="570"/>
      <c r="G27" s="571"/>
      <c r="H27" s="571"/>
      <c r="I27" s="571"/>
      <c r="J27" s="572"/>
      <c r="K27" s="573"/>
      <c r="L27" s="573"/>
      <c r="M27" s="751"/>
      <c r="N27" s="711"/>
      <c r="O27" s="711"/>
      <c r="P27" s="712"/>
      <c r="W27" s="470"/>
    </row>
    <row r="28" spans="1:28" ht="18.75" customHeight="1">
      <c r="A28" s="627"/>
      <c r="B28" s="676"/>
      <c r="C28" s="678"/>
      <c r="D28" s="625"/>
      <c r="E28" s="552" t="s">
        <v>169</v>
      </c>
      <c r="F28" s="553"/>
      <c r="G28" s="734" t="s">
        <v>170</v>
      </c>
      <c r="H28" s="735"/>
      <c r="I28" s="736"/>
      <c r="J28" s="554"/>
      <c r="K28" s="555"/>
      <c r="L28" s="556"/>
      <c r="M28" s="752"/>
      <c r="N28" s="753"/>
      <c r="O28" s="713"/>
      <c r="P28" s="714"/>
      <c r="S28" s="471" t="s">
        <v>86</v>
      </c>
      <c r="T28" s="472"/>
      <c r="U28" s="473" t="s">
        <v>217</v>
      </c>
      <c r="V28" s="473"/>
      <c r="W28" s="473"/>
      <c r="X28" s="472"/>
      <c r="Y28" s="474"/>
      <c r="AA28" s="475"/>
      <c r="AB28" s="475"/>
    </row>
    <row r="29" spans="1:28" ht="18.75" customHeight="1" thickBot="1">
      <c r="A29" s="627"/>
      <c r="B29" s="676"/>
      <c r="C29" s="678"/>
      <c r="D29" s="625"/>
      <c r="E29" s="552" t="s">
        <v>171</v>
      </c>
      <c r="F29" s="553"/>
      <c r="G29" s="734" t="s">
        <v>170</v>
      </c>
      <c r="H29" s="735"/>
      <c r="I29" s="736"/>
      <c r="J29" s="557"/>
      <c r="K29" s="558"/>
      <c r="L29" s="559"/>
      <c r="M29" s="785"/>
      <c r="N29" s="786"/>
      <c r="O29" s="715"/>
      <c r="P29" s="716"/>
      <c r="S29" s="476"/>
      <c r="T29" s="472"/>
      <c r="U29" s="477">
        <f>$L$38</f>
        <v>1251900</v>
      </c>
      <c r="V29" s="477"/>
      <c r="W29" s="477"/>
      <c r="X29" s="472"/>
      <c r="Y29" s="476"/>
      <c r="Z29" s="472"/>
      <c r="AA29" s="475"/>
      <c r="AB29" s="475"/>
    </row>
    <row r="30" spans="1:28" ht="18.75" customHeight="1">
      <c r="A30" s="627"/>
      <c r="B30" s="676"/>
      <c r="C30" s="678"/>
      <c r="D30" s="625"/>
      <c r="E30" s="560" t="s">
        <v>172</v>
      </c>
      <c r="F30" s="561"/>
      <c r="G30" s="782" t="s">
        <v>173</v>
      </c>
      <c r="H30" s="783"/>
      <c r="I30" s="784"/>
      <c r="J30" s="562"/>
      <c r="K30" s="563"/>
      <c r="L30" s="564"/>
      <c r="M30" s="787"/>
      <c r="N30" s="788"/>
      <c r="O30" s="717"/>
      <c r="P30" s="718"/>
      <c r="S30" s="478"/>
      <c r="T30" s="479"/>
      <c r="U30" s="480" t="s">
        <v>268</v>
      </c>
      <c r="V30" s="481"/>
      <c r="W30" s="482"/>
      <c r="X30" s="472"/>
      <c r="Y30" s="483"/>
      <c r="Z30" s="472"/>
    </row>
    <row r="31" spans="1:28" ht="18.75" customHeight="1">
      <c r="A31" s="627"/>
      <c r="B31" s="676"/>
      <c r="C31" s="678"/>
      <c r="D31" s="583"/>
      <c r="E31" s="565"/>
      <c r="F31" s="566"/>
      <c r="G31" s="773" t="s">
        <v>23</v>
      </c>
      <c r="H31" s="774"/>
      <c r="I31" s="775"/>
      <c r="J31" s="567"/>
      <c r="K31" s="568"/>
      <c r="L31" s="569"/>
      <c r="M31" s="769"/>
      <c r="N31" s="770"/>
      <c r="O31" s="723"/>
      <c r="P31" s="724"/>
      <c r="S31" s="484"/>
      <c r="T31" s="479"/>
      <c r="U31" s="485" t="s">
        <v>218</v>
      </c>
      <c r="V31" s="486"/>
      <c r="W31" s="487"/>
      <c r="X31" s="472"/>
      <c r="Y31" s="488"/>
      <c r="Z31" s="472"/>
      <c r="AA31" s="489" t="s">
        <v>219</v>
      </c>
    </row>
    <row r="32" spans="1:28" ht="18.75" customHeight="1" thickBot="1">
      <c r="A32" s="627"/>
      <c r="B32" s="676"/>
      <c r="C32" s="678"/>
      <c r="D32" s="626" t="s">
        <v>174</v>
      </c>
      <c r="E32" s="623"/>
      <c r="F32" s="623"/>
      <c r="G32" s="776" t="s">
        <v>173</v>
      </c>
      <c r="H32" s="777"/>
      <c r="I32" s="778"/>
      <c r="J32" s="221">
        <f>IF(【実地研修中の宿泊】=1,【宿舎費_研修センター】+【食費_夕食】+【食費_朝食】,IF(【実地研修中の宿泊】=2,【宿舎費_会社施設】,$O$11))</f>
        <v>1570</v>
      </c>
      <c r="K32" s="222">
        <f>$F$11</f>
        <v>120</v>
      </c>
      <c r="L32" s="223">
        <f>J32*K32</f>
        <v>188400</v>
      </c>
      <c r="M32" s="771">
        <f>ROUNDDOWN(L32*$N$25,0)</f>
        <v>125600</v>
      </c>
      <c r="N32" s="772"/>
      <c r="O32" s="705">
        <f>ROUNDUP(L32*$P$25,0)</f>
        <v>62800</v>
      </c>
      <c r="P32" s="706"/>
      <c r="S32" s="490" t="s">
        <v>220</v>
      </c>
      <c r="T32" s="479"/>
      <c r="U32" s="491" t="s">
        <v>221</v>
      </c>
      <c r="V32" s="492"/>
      <c r="W32" s="493">
        <f>$L$58</f>
        <v>0</v>
      </c>
      <c r="X32" s="472"/>
      <c r="Y32" s="488"/>
      <c r="Z32" s="472"/>
      <c r="AA32" s="494" t="s">
        <v>222</v>
      </c>
    </row>
    <row r="33" spans="1:30" ht="18.75" customHeight="1">
      <c r="A33" s="627"/>
      <c r="B33" s="676"/>
      <c r="C33" s="678"/>
      <c r="E33" s="654" t="s">
        <v>249</v>
      </c>
      <c r="F33" s="628"/>
      <c r="G33" s="679" t="str">
        <f>IF(【実地研修中の宿泊】=1,"食費(昼食費)","食費")</f>
        <v>食費</v>
      </c>
      <c r="H33" s="680"/>
      <c r="I33" s="681"/>
      <c r="J33" s="656">
        <f>IF(【実地研修中の宿泊】=1,0,【食費_夕食】+【食費_朝食】)</f>
        <v>1780</v>
      </c>
      <c r="K33" s="657">
        <v>1</v>
      </c>
      <c r="L33" s="629">
        <f t="shared" ref="L33:L36" si="0">J33*K33</f>
        <v>1780</v>
      </c>
      <c r="M33" s="754">
        <f>ROUNDDOWN(L33*$N$25,0)</f>
        <v>1186</v>
      </c>
      <c r="N33" s="755"/>
      <c r="O33" s="725">
        <f>ROUNDUP(L33*$P$25,0)</f>
        <v>594</v>
      </c>
      <c r="P33" s="726"/>
      <c r="S33" s="490"/>
      <c r="T33" s="472"/>
      <c r="U33" s="495" t="s">
        <v>264</v>
      </c>
      <c r="V33" s="496"/>
      <c r="W33" s="497"/>
      <c r="X33" s="472"/>
      <c r="Y33" s="488"/>
      <c r="Z33" s="472"/>
      <c r="AA33" s="498"/>
      <c r="AB33" s="499"/>
    </row>
    <row r="34" spans="1:30" ht="18.75" customHeight="1">
      <c r="A34" s="627"/>
      <c r="B34" s="676"/>
      <c r="C34" s="678"/>
      <c r="D34" s="224"/>
      <c r="E34" s="655" t="s">
        <v>250</v>
      </c>
      <c r="F34" s="224"/>
      <c r="G34" s="779" t="str">
        <f>IF(【実地研修中の宿泊】=1,"食費(昼食費)","食費")</f>
        <v>食費</v>
      </c>
      <c r="H34" s="780"/>
      <c r="I34" s="781"/>
      <c r="J34" s="658">
        <f>IF(【実地研修中の宿泊】=1,【食費_昼食】,【食費_昼食】+【食費_夕食】+【食費_朝食】)</f>
        <v>2620</v>
      </c>
      <c r="K34" s="659">
        <f>$F$11-1</f>
        <v>119</v>
      </c>
      <c r="L34" s="220">
        <f t="shared" si="0"/>
        <v>311780</v>
      </c>
      <c r="M34" s="747">
        <f>ROUNDDOWN(L34*$N$25,0)</f>
        <v>207853</v>
      </c>
      <c r="N34" s="748"/>
      <c r="O34" s="707">
        <f>ROUNDUP(L34*$P$25,0)</f>
        <v>103927</v>
      </c>
      <c r="P34" s="708"/>
      <c r="S34" s="500">
        <f>$M$38</f>
        <v>835379</v>
      </c>
      <c r="U34" s="501" t="s">
        <v>223</v>
      </c>
      <c r="V34" s="502"/>
      <c r="W34" s="503">
        <f>$L$26</f>
        <v>100000</v>
      </c>
      <c r="Y34" s="488"/>
      <c r="Z34" s="504"/>
      <c r="AA34" s="505" t="s">
        <v>224</v>
      </c>
      <c r="AB34" s="506">
        <f>$W$34</f>
        <v>100000</v>
      </c>
    </row>
    <row r="35" spans="1:30" ht="18.75" customHeight="1">
      <c r="A35" s="627"/>
      <c r="B35" s="676"/>
      <c r="C35" s="678"/>
      <c r="D35" s="217" t="s">
        <v>151</v>
      </c>
      <c r="E35" s="217"/>
      <c r="F35" s="217"/>
      <c r="G35" s="462"/>
      <c r="H35" s="462"/>
      <c r="I35" s="463"/>
      <c r="J35" s="218">
        <f>【雑費】</f>
        <v>1040</v>
      </c>
      <c r="K35" s="219">
        <f t="shared" ref="K35:K36" si="1">$F$11</f>
        <v>120</v>
      </c>
      <c r="L35" s="220">
        <f t="shared" si="0"/>
        <v>124800</v>
      </c>
      <c r="M35" s="747">
        <f>ROUNDDOWN(L35*$N$25,0)</f>
        <v>83200</v>
      </c>
      <c r="N35" s="748"/>
      <c r="O35" s="707">
        <f>ROUNDUP(L35*$P$25,0)</f>
        <v>41600</v>
      </c>
      <c r="P35" s="708"/>
      <c r="S35" s="484" t="str">
        <f>"("&amp;TEXT(VLOOKUP(【研修申込区分】,【研修申込区分別費用】,3,FALSE),"# ?/?")&amp;" )"</f>
        <v>( 2/3 )</v>
      </c>
      <c r="U35" s="501" t="s">
        <v>225</v>
      </c>
      <c r="V35" s="502"/>
      <c r="W35" s="503">
        <f>IF(【実地研修中の宿泊】=1,0,$L$32)</f>
        <v>188400</v>
      </c>
      <c r="Y35" s="488"/>
      <c r="Z35" s="504"/>
      <c r="AA35" s="507" t="s">
        <v>202</v>
      </c>
      <c r="AB35" s="508">
        <f>$W$35</f>
        <v>188400</v>
      </c>
      <c r="AD35" s="180"/>
    </row>
    <row r="36" spans="1:30" ht="18.75" customHeight="1">
      <c r="A36" s="627"/>
      <c r="B36" s="677"/>
      <c r="C36" s="461" t="s">
        <v>155</v>
      </c>
      <c r="D36" s="462"/>
      <c r="E36" s="462"/>
      <c r="F36" s="462"/>
      <c r="G36" s="462"/>
      <c r="H36" s="462"/>
      <c r="I36" s="197"/>
      <c r="J36" s="225">
        <f>VLOOKUP(【研修申込区分】,【研修申込区分別費用】,5,FALSE)</f>
        <v>5190</v>
      </c>
      <c r="K36" s="226">
        <f t="shared" si="1"/>
        <v>120</v>
      </c>
      <c r="L36" s="227">
        <f t="shared" si="0"/>
        <v>622800</v>
      </c>
      <c r="M36" s="745">
        <f>ROUNDDOWN(L36*$N$25,0)</f>
        <v>415200</v>
      </c>
      <c r="N36" s="746"/>
      <c r="O36" s="719">
        <f>ROUNDUP(L36*$P$25,0)</f>
        <v>207600</v>
      </c>
      <c r="P36" s="720"/>
      <c r="S36" s="509"/>
      <c r="U36" s="636" t="s">
        <v>253</v>
      </c>
      <c r="V36" s="634"/>
      <c r="W36" s="635">
        <f>SUM($L$33:$L$34)</f>
        <v>313560</v>
      </c>
      <c r="Y36" s="510"/>
      <c r="Z36" s="511"/>
      <c r="AA36" s="505" t="s">
        <v>226</v>
      </c>
      <c r="AB36" s="512">
        <f>$W$36</f>
        <v>313560</v>
      </c>
    </row>
    <row r="37" spans="1:30" ht="18.75" customHeight="1" thickBot="1">
      <c r="B37" s="228" t="s">
        <v>175</v>
      </c>
      <c r="C37" s="229"/>
      <c r="D37" s="229"/>
      <c r="E37" s="229"/>
      <c r="F37" s="229"/>
      <c r="G37" s="229"/>
      <c r="H37" s="229"/>
      <c r="I37" s="230"/>
      <c r="J37" s="231" t="s">
        <v>176</v>
      </c>
      <c r="K37" s="232" t="s">
        <v>176</v>
      </c>
      <c r="L37" s="233">
        <f>$O$17</f>
        <v>2340</v>
      </c>
      <c r="M37" s="743">
        <f>L37</f>
        <v>2340</v>
      </c>
      <c r="N37" s="744"/>
      <c r="O37" s="721"/>
      <c r="P37" s="722"/>
      <c r="S37" s="513" t="s">
        <v>280</v>
      </c>
      <c r="U37" s="501" t="s">
        <v>227</v>
      </c>
      <c r="V37" s="502"/>
      <c r="W37" s="503">
        <f>$L$35</f>
        <v>124800</v>
      </c>
      <c r="X37" s="514" t="s">
        <v>262</v>
      </c>
      <c r="Y37" s="473"/>
      <c r="Z37" s="515"/>
      <c r="AA37" s="505" t="s">
        <v>228</v>
      </c>
      <c r="AB37" s="512">
        <f>$W$37</f>
        <v>124800</v>
      </c>
    </row>
    <row r="38" spans="1:30" ht="16.5" customHeight="1" thickBot="1">
      <c r="B38" s="672" t="s">
        <v>177</v>
      </c>
      <c r="C38" s="673"/>
      <c r="D38" s="673"/>
      <c r="E38" s="673"/>
      <c r="F38" s="673"/>
      <c r="G38" s="673"/>
      <c r="H38" s="673"/>
      <c r="I38" s="673"/>
      <c r="J38" s="673"/>
      <c r="K38" s="674"/>
      <c r="L38" s="234">
        <f>SUM(L32:L37)</f>
        <v>1251900</v>
      </c>
      <c r="M38" s="767">
        <f>SUM(M32:M37)</f>
        <v>835379</v>
      </c>
      <c r="N38" s="768"/>
      <c r="O38" s="703">
        <f>SUM(O32:O37)</f>
        <v>416521</v>
      </c>
      <c r="P38" s="704"/>
      <c r="S38" s="516">
        <f>$O$38</f>
        <v>416521</v>
      </c>
      <c r="U38" s="501" t="s">
        <v>229</v>
      </c>
      <c r="V38" s="502"/>
      <c r="W38" s="503">
        <f>$L$36</f>
        <v>622800</v>
      </c>
      <c r="X38" s="517">
        <f>$U$29-$W$32-$W$40</f>
        <v>1249560</v>
      </c>
      <c r="Y38" s="473"/>
      <c r="Z38" s="518"/>
      <c r="AA38" s="505" t="s">
        <v>230</v>
      </c>
      <c r="AB38" s="506">
        <f>$W$38</f>
        <v>622800</v>
      </c>
    </row>
    <row r="39" spans="1:30" ht="16.5" customHeight="1" thickBot="1">
      <c r="A39" s="235"/>
      <c r="B39" s="236"/>
      <c r="C39" s="237"/>
      <c r="D39" s="237"/>
      <c r="E39" s="237"/>
      <c r="F39" s="237"/>
      <c r="G39" s="237"/>
      <c r="H39" s="237"/>
      <c r="I39" s="237"/>
      <c r="J39" s="237"/>
      <c r="K39" s="237"/>
      <c r="L39" s="238" t="s">
        <v>178</v>
      </c>
      <c r="M39" s="760" t="s">
        <v>179</v>
      </c>
      <c r="N39" s="760"/>
      <c r="O39" s="760" t="s">
        <v>281</v>
      </c>
      <c r="P39" s="760"/>
      <c r="S39" s="519" t="str">
        <f>"("&amp;TEXT(VLOOKUP(【研修申込区分】,【研修申込区分別費用】,4,FALSE),"# ?/?")&amp;" )"</f>
        <v>( 1/3 )</v>
      </c>
      <c r="T39" s="479"/>
      <c r="U39" s="501"/>
      <c r="V39" s="502"/>
      <c r="W39" s="520" t="str">
        <f>"( "&amp;TEXT($U$29-$W$32-$W$40,"#,###0")&amp;")"</f>
        <v>( 1,249,560)</v>
      </c>
      <c r="X39" s="517" t="s">
        <v>231</v>
      </c>
      <c r="Y39" s="473"/>
      <c r="Z39" s="521"/>
      <c r="AA39" s="522"/>
      <c r="AB39" s="523" t="str">
        <f>"( "&amp;TEXT(SUM(AB33:AB38),"#,###0")&amp;")"</f>
        <v>( 1,349,560)</v>
      </c>
    </row>
    <row r="40" spans="1:30" ht="18.75" customHeight="1" thickBot="1">
      <c r="B40" s="186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65"/>
      <c r="N40" s="265"/>
      <c r="O40" s="265"/>
      <c r="P40" s="265"/>
      <c r="S40" s="524" t="s">
        <v>278</v>
      </c>
      <c r="T40" s="472"/>
      <c r="U40" s="525" t="s">
        <v>232</v>
      </c>
      <c r="V40" s="526"/>
      <c r="W40" s="527">
        <f>$O$17</f>
        <v>2340</v>
      </c>
      <c r="X40" s="521" t="s">
        <v>233</v>
      </c>
      <c r="Y40" s="473"/>
      <c r="Z40" s="521"/>
      <c r="AA40" s="528" t="s">
        <v>234</v>
      </c>
      <c r="AB40" s="529">
        <f>$O$17</f>
        <v>2340</v>
      </c>
      <c r="AC40" s="206"/>
    </row>
    <row r="41" spans="1:30" ht="18.75" customHeight="1">
      <c r="B41" s="698" t="s">
        <v>180</v>
      </c>
      <c r="C41" s="698"/>
      <c r="D41" s="698"/>
      <c r="E41" s="698"/>
      <c r="F41" s="698"/>
      <c r="G41" s="698"/>
      <c r="H41" s="698"/>
      <c r="I41" s="698"/>
      <c r="J41" s="698"/>
      <c r="K41" s="698"/>
      <c r="L41" s="698"/>
      <c r="S41" s="530">
        <f>G3</f>
        <v>0</v>
      </c>
      <c r="T41" s="472"/>
      <c r="U41" s="186"/>
      <c r="V41" s="186"/>
      <c r="W41" s="186"/>
      <c r="X41" s="531">
        <f>$O$17</f>
        <v>2340</v>
      </c>
      <c r="Y41" s="473"/>
      <c r="Z41" s="532"/>
      <c r="AA41" s="179"/>
      <c r="AB41" s="179"/>
    </row>
    <row r="42" spans="1:30" ht="18.75" customHeight="1" thickBot="1">
      <c r="B42" s="698"/>
      <c r="C42" s="698"/>
      <c r="D42" s="698"/>
      <c r="E42" s="698"/>
      <c r="F42" s="698"/>
      <c r="G42" s="698"/>
      <c r="H42" s="698"/>
      <c r="I42" s="698"/>
      <c r="J42" s="698"/>
      <c r="K42" s="698"/>
      <c r="L42" s="698"/>
      <c r="M42" s="194"/>
      <c r="N42" s="194"/>
      <c r="O42" s="203"/>
      <c r="P42" s="240"/>
      <c r="S42" s="533">
        <f>$L$45</f>
        <v>122000</v>
      </c>
      <c r="T42" s="472"/>
      <c r="U42" s="265"/>
      <c r="V42" s="265"/>
      <c r="W42" s="265"/>
      <c r="X42" s="532"/>
      <c r="Y42" s="473"/>
      <c r="Z42" s="515"/>
      <c r="AA42" s="179"/>
      <c r="AB42" s="179"/>
    </row>
    <row r="43" spans="1:30" ht="18.75" customHeight="1" thickBot="1">
      <c r="C43" s="692" t="s">
        <v>181</v>
      </c>
      <c r="D43" s="693"/>
      <c r="E43" s="693"/>
      <c r="F43" s="693"/>
      <c r="G43" s="694"/>
      <c r="H43" s="546"/>
      <c r="I43" s="546"/>
      <c r="J43" s="241" t="s">
        <v>159</v>
      </c>
      <c r="K43" s="241" t="s">
        <v>160</v>
      </c>
      <c r="L43" s="242" t="s">
        <v>182</v>
      </c>
      <c r="S43" s="534"/>
      <c r="T43" s="472"/>
      <c r="U43" s="265"/>
      <c r="V43" s="265"/>
      <c r="W43" s="265"/>
      <c r="X43" s="532"/>
      <c r="Y43" s="473"/>
      <c r="Z43" s="515"/>
      <c r="AA43" s="179"/>
      <c r="AB43" s="179"/>
    </row>
    <row r="44" spans="1:30" ht="18.75" customHeight="1">
      <c r="C44" s="687" t="s">
        <v>183</v>
      </c>
      <c r="D44" s="201" t="s">
        <v>282</v>
      </c>
      <c r="E44" s="243"/>
      <c r="F44" s="243"/>
      <c r="G44" s="243"/>
      <c r="H44" s="243"/>
      <c r="I44" s="243"/>
      <c r="J44" s="243"/>
      <c r="K44" s="243"/>
      <c r="L44" s="244">
        <f>O38</f>
        <v>416521</v>
      </c>
      <c r="S44" s="484"/>
      <c r="U44" s="179"/>
      <c r="V44" s="179"/>
      <c r="W44" s="179"/>
      <c r="X44" s="532"/>
      <c r="Y44" s="473"/>
      <c r="Z44" s="535"/>
    </row>
    <row r="45" spans="1:30" ht="18.75" customHeight="1" thickBot="1">
      <c r="C45" s="687"/>
      <c r="D45" s="201" t="s">
        <v>276</v>
      </c>
      <c r="E45" s="243"/>
      <c r="F45" s="243"/>
      <c r="G45" s="243"/>
      <c r="H45" s="243"/>
      <c r="I45" s="243"/>
      <c r="J45" s="245">
        <f>VLOOKUP(【研修申込区分】,【研修申込区分別費用】,6,FALSE)</f>
        <v>122000</v>
      </c>
      <c r="K45" s="246">
        <v>1</v>
      </c>
      <c r="L45" s="247">
        <f>J45</f>
        <v>122000</v>
      </c>
      <c r="S45" s="490"/>
      <c r="U45" s="265"/>
      <c r="V45" s="265"/>
      <c r="W45" s="265"/>
      <c r="X45" s="536"/>
      <c r="Y45" s="473"/>
      <c r="Z45" s="537"/>
      <c r="AA45" s="538">
        <f>AA47+AA51</f>
        <v>538521</v>
      </c>
      <c r="AB45" s="179"/>
    </row>
    <row r="46" spans="1:30" ht="18.75" customHeight="1" thickBot="1">
      <c r="C46" s="688"/>
      <c r="D46" s="248"/>
      <c r="E46" s="268"/>
      <c r="F46" s="268"/>
      <c r="G46" s="269"/>
      <c r="H46" s="545"/>
      <c r="I46" s="545"/>
      <c r="J46" s="249"/>
      <c r="K46" s="250"/>
      <c r="L46" s="251"/>
      <c r="S46" s="490" t="s">
        <v>220</v>
      </c>
      <c r="U46" s="265"/>
      <c r="V46" s="265"/>
      <c r="W46" s="265"/>
      <c r="X46" s="521"/>
      <c r="Y46" s="473"/>
      <c r="Z46" s="536"/>
      <c r="AA46" s="539" t="s">
        <v>280</v>
      </c>
    </row>
    <row r="47" spans="1:30" ht="18.75" customHeight="1" thickBot="1">
      <c r="C47" s="672" t="s">
        <v>177</v>
      </c>
      <c r="D47" s="673"/>
      <c r="E47" s="673"/>
      <c r="F47" s="673"/>
      <c r="G47" s="673"/>
      <c r="H47" s="673"/>
      <c r="I47" s="673"/>
      <c r="J47" s="673"/>
      <c r="K47" s="674"/>
      <c r="L47" s="252">
        <f>SUM(L44:L46)</f>
        <v>538521</v>
      </c>
      <c r="M47" s="253" t="s">
        <v>236</v>
      </c>
      <c r="Q47" s="203"/>
      <c r="S47" s="500"/>
      <c r="U47" s="265"/>
      <c r="V47" s="265"/>
      <c r="W47" s="265"/>
      <c r="X47" s="536" t="s">
        <v>269</v>
      </c>
      <c r="Y47" s="473"/>
      <c r="Z47" s="536"/>
      <c r="AA47" s="516">
        <f>$S$38</f>
        <v>416521</v>
      </c>
    </row>
    <row r="48" spans="1:30" ht="18.75" customHeight="1" thickBot="1">
      <c r="B48" s="265"/>
      <c r="C48" s="265"/>
      <c r="D48" s="265"/>
      <c r="E48" s="265"/>
      <c r="F48" s="265"/>
      <c r="G48" s="265"/>
      <c r="H48" s="547"/>
      <c r="I48" s="547"/>
      <c r="J48" s="265"/>
      <c r="K48" s="265"/>
      <c r="M48" s="265"/>
      <c r="N48" s="265"/>
      <c r="Q48" s="203"/>
      <c r="S48" s="484"/>
      <c r="U48" s="265"/>
      <c r="V48" s="265"/>
      <c r="W48" s="265"/>
      <c r="X48" s="514">
        <f>$AA$47+$AA$51</f>
        <v>538521</v>
      </c>
      <c r="Y48" s="473"/>
      <c r="Z48" s="537"/>
      <c r="AA48" s="519" t="str">
        <f>$S$39</f>
        <v>( 1/3 )</v>
      </c>
    </row>
    <row r="49" spans="1:28" ht="18.75" customHeight="1" thickBot="1">
      <c r="B49" s="699" t="s">
        <v>270</v>
      </c>
      <c r="C49" s="699"/>
      <c r="D49" s="699"/>
      <c r="E49" s="699"/>
      <c r="F49" s="699"/>
      <c r="G49" s="699"/>
      <c r="H49" s="699"/>
      <c r="I49" s="699"/>
      <c r="J49" s="699"/>
      <c r="K49" s="699"/>
      <c r="L49" s="699"/>
      <c r="Q49" s="203"/>
      <c r="S49" s="540"/>
      <c r="U49" s="265"/>
      <c r="V49" s="265"/>
      <c r="W49" s="265"/>
      <c r="Y49" s="265"/>
      <c r="Z49" s="186"/>
      <c r="AA49" s="530" t="s">
        <v>278</v>
      </c>
    </row>
    <row r="50" spans="1:28" ht="18.75" customHeight="1" thickBot="1">
      <c r="B50" s="699"/>
      <c r="C50" s="699"/>
      <c r="D50" s="699"/>
      <c r="E50" s="699"/>
      <c r="F50" s="699"/>
      <c r="G50" s="699"/>
      <c r="H50" s="699"/>
      <c r="I50" s="699"/>
      <c r="J50" s="699"/>
      <c r="K50" s="699"/>
      <c r="L50" s="699"/>
      <c r="M50" s="194"/>
      <c r="N50" s="265"/>
      <c r="P50" s="254"/>
      <c r="Q50" s="203"/>
      <c r="S50" s="179"/>
      <c r="U50" s="265"/>
      <c r="V50" s="265"/>
      <c r="W50" s="265"/>
      <c r="Y50" s="265"/>
      <c r="Z50" s="186"/>
      <c r="AA50" s="530">
        <f>G3</f>
        <v>0</v>
      </c>
    </row>
    <row r="51" spans="1:28" ht="18.75" customHeight="1" thickBot="1">
      <c r="B51" s="265"/>
      <c r="C51" s="692" t="s">
        <v>181</v>
      </c>
      <c r="D51" s="693"/>
      <c r="E51" s="693"/>
      <c r="F51" s="693"/>
      <c r="G51" s="693"/>
      <c r="H51" s="693"/>
      <c r="I51" s="694"/>
      <c r="J51" s="241" t="s">
        <v>159</v>
      </c>
      <c r="K51" s="241" t="s">
        <v>160</v>
      </c>
      <c r="L51" s="242" t="s">
        <v>0</v>
      </c>
      <c r="M51" s="265"/>
      <c r="N51" s="265"/>
      <c r="P51" s="239"/>
      <c r="Q51" s="203"/>
      <c r="S51" s="179"/>
      <c r="U51" s="265"/>
      <c r="V51" s="265"/>
      <c r="W51" s="265"/>
      <c r="Y51" s="265"/>
      <c r="AA51" s="541">
        <f>$S$42</f>
        <v>122000</v>
      </c>
    </row>
    <row r="52" spans="1:28" ht="18.75" customHeight="1" thickBot="1">
      <c r="B52" s="265"/>
      <c r="C52" s="685" t="s">
        <v>184</v>
      </c>
      <c r="D52" s="574" t="s">
        <v>168</v>
      </c>
      <c r="E52" s="574"/>
      <c r="F52" s="574"/>
      <c r="G52" s="575"/>
      <c r="H52" s="575"/>
      <c r="I52" s="575"/>
      <c r="J52" s="576"/>
      <c r="K52" s="574"/>
      <c r="L52" s="577"/>
      <c r="N52" s="265"/>
      <c r="P52" s="239"/>
      <c r="Q52" s="203"/>
      <c r="S52" s="179"/>
      <c r="U52" s="265"/>
      <c r="V52" s="265"/>
      <c r="W52" s="265"/>
      <c r="Y52" s="542" t="s">
        <v>271</v>
      </c>
    </row>
    <row r="53" spans="1:28" ht="18.75" customHeight="1">
      <c r="B53" s="265"/>
      <c r="C53" s="685"/>
      <c r="D53" s="578"/>
      <c r="E53" s="552" t="s">
        <v>169</v>
      </c>
      <c r="F53" s="553"/>
      <c r="G53" s="695" t="s">
        <v>170</v>
      </c>
      <c r="H53" s="696"/>
      <c r="I53" s="697"/>
      <c r="J53" s="554"/>
      <c r="K53" s="579"/>
      <c r="L53" s="556"/>
      <c r="N53" s="265"/>
      <c r="P53" s="239"/>
      <c r="Q53" s="203"/>
      <c r="Y53" s="478" t="s">
        <v>235</v>
      </c>
    </row>
    <row r="54" spans="1:28" ht="18.75" customHeight="1" thickBot="1">
      <c r="B54" s="265"/>
      <c r="C54" s="685"/>
      <c r="D54" s="551"/>
      <c r="E54" s="552" t="s">
        <v>171</v>
      </c>
      <c r="F54" s="553"/>
      <c r="G54" s="695" t="s">
        <v>170</v>
      </c>
      <c r="H54" s="696"/>
      <c r="I54" s="697"/>
      <c r="J54" s="554"/>
      <c r="K54" s="580"/>
      <c r="L54" s="556"/>
      <c r="N54" s="265"/>
      <c r="P54" s="239"/>
      <c r="Q54" s="203"/>
      <c r="Y54" s="543">
        <f>$X$38-$X$48+W40</f>
        <v>713379</v>
      </c>
    </row>
    <row r="55" spans="1:28" ht="18.75" customHeight="1">
      <c r="B55" s="265"/>
      <c r="C55" s="685"/>
      <c r="D55" s="578"/>
      <c r="E55" s="560" t="s">
        <v>172</v>
      </c>
      <c r="F55" s="581"/>
      <c r="G55" s="700" t="s">
        <v>173</v>
      </c>
      <c r="H55" s="701"/>
      <c r="I55" s="702"/>
      <c r="J55" s="562"/>
      <c r="K55" s="582"/>
      <c r="L55" s="564"/>
      <c r="N55" s="265"/>
      <c r="P55" s="239"/>
      <c r="Q55" s="203"/>
      <c r="Y55" s="471" t="str">
        <f>IF(Y54&lt;0,AA55,AA56)</f>
        <v>AOTSから企業へお支払いいたします</v>
      </c>
      <c r="AA55" s="544" t="s">
        <v>272</v>
      </c>
    </row>
    <row r="56" spans="1:28" ht="18.75" customHeight="1">
      <c r="B56" s="265"/>
      <c r="C56" s="685"/>
      <c r="D56" s="583"/>
      <c r="E56" s="565"/>
      <c r="F56" s="584"/>
      <c r="G56" s="682" t="s">
        <v>23</v>
      </c>
      <c r="H56" s="683"/>
      <c r="I56" s="684"/>
      <c r="J56" s="567"/>
      <c r="K56" s="585"/>
      <c r="L56" s="569"/>
      <c r="N56" s="265"/>
      <c r="P56" s="239"/>
      <c r="Q56" s="203"/>
      <c r="S56" s="179"/>
      <c r="T56" s="179"/>
      <c r="U56" s="179"/>
      <c r="V56" s="179"/>
      <c r="W56" s="179"/>
      <c r="X56" s="179"/>
      <c r="Y56" s="179"/>
      <c r="Z56" s="179"/>
      <c r="AA56" s="544" t="s">
        <v>273</v>
      </c>
      <c r="AB56" s="179"/>
    </row>
    <row r="57" spans="1:28" ht="18.75" customHeight="1" thickBot="1">
      <c r="A57" s="255"/>
      <c r="B57" s="265"/>
      <c r="C57" s="686"/>
      <c r="D57" s="256" t="s">
        <v>174</v>
      </c>
      <c r="E57" s="256"/>
      <c r="F57" s="256"/>
      <c r="G57" s="689" t="s">
        <v>173</v>
      </c>
      <c r="H57" s="690"/>
      <c r="I57" s="691"/>
      <c r="J57" s="257">
        <f>IF(【実地研修中の宿泊】=1,$J$32,0)</f>
        <v>0</v>
      </c>
      <c r="K57" s="258">
        <f>IF(J57=0,0,$K$32)</f>
        <v>0</v>
      </c>
      <c r="L57" s="259">
        <f>J57*K57</f>
        <v>0</v>
      </c>
      <c r="N57" s="265"/>
      <c r="P57" s="239"/>
      <c r="Q57" s="203"/>
    </row>
    <row r="58" spans="1:28" ht="16.5" customHeight="1" thickBot="1">
      <c r="A58" s="265"/>
      <c r="B58" s="265"/>
      <c r="C58" s="672" t="s">
        <v>177</v>
      </c>
      <c r="D58" s="673"/>
      <c r="E58" s="673"/>
      <c r="F58" s="673"/>
      <c r="G58" s="673"/>
      <c r="H58" s="673"/>
      <c r="I58" s="673"/>
      <c r="J58" s="673"/>
      <c r="K58" s="674"/>
      <c r="L58" s="260">
        <f>SUM(L53:L57)</f>
        <v>0</v>
      </c>
      <c r="M58" s="253" t="s">
        <v>237</v>
      </c>
      <c r="P58" s="254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</row>
    <row r="59" spans="1:28" ht="16.5" customHeight="1">
      <c r="B59" s="194"/>
      <c r="C59" s="261"/>
      <c r="D59" s="261"/>
      <c r="E59" s="261"/>
      <c r="F59" s="261"/>
      <c r="G59" s="261"/>
      <c r="H59" s="261"/>
      <c r="I59" s="261"/>
      <c r="J59" s="261"/>
      <c r="K59" s="261"/>
      <c r="L59" s="262"/>
      <c r="M59" s="194"/>
      <c r="N59" s="263"/>
      <c r="O59" s="255"/>
      <c r="P59" s="264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</row>
    <row r="60" spans="1:28" ht="16.5" customHeight="1">
      <c r="B60" s="179" t="s">
        <v>283</v>
      </c>
      <c r="S60" s="179"/>
      <c r="T60" s="179"/>
      <c r="U60" s="179"/>
      <c r="V60" s="179"/>
      <c r="W60" s="179"/>
      <c r="X60" s="179"/>
      <c r="Y60" s="179"/>
      <c r="Z60" s="179"/>
      <c r="AA60" s="179"/>
      <c r="AB60" s="179"/>
    </row>
    <row r="61" spans="1:28" ht="17.100000000000001" customHeight="1">
      <c r="Q61" s="203"/>
      <c r="R61" s="203"/>
      <c r="Z61" s="179"/>
      <c r="AA61" s="179"/>
      <c r="AB61" s="179"/>
    </row>
    <row r="62" spans="1:28" ht="17.100000000000001" customHeight="1">
      <c r="S62" s="179"/>
      <c r="T62" s="179"/>
      <c r="U62" s="179"/>
      <c r="V62" s="179"/>
      <c r="W62" s="179"/>
      <c r="X62" s="179"/>
      <c r="Y62" s="179"/>
      <c r="AB62" s="179"/>
    </row>
    <row r="63" spans="1:28" ht="15" customHeight="1">
      <c r="S63" s="179"/>
      <c r="T63" s="179"/>
      <c r="U63" s="179"/>
      <c r="V63" s="179"/>
      <c r="W63" s="179"/>
      <c r="X63" s="179"/>
      <c r="Y63" s="179"/>
      <c r="Z63" s="179"/>
      <c r="AA63" s="179"/>
    </row>
    <row r="64" spans="1:28" ht="13.5" customHeight="1">
      <c r="Q64" s="179"/>
      <c r="R64" s="179"/>
      <c r="Z64" s="179"/>
      <c r="AA64" s="179"/>
      <c r="AB64" s="179"/>
    </row>
    <row r="65" spans="17:28" ht="13.5" customHeight="1">
      <c r="Q65" s="179"/>
      <c r="R65" s="179"/>
      <c r="AB65" s="179"/>
    </row>
  </sheetData>
  <sheetProtection sheet="1" objects="1" scenarios="1" formatCells="0"/>
  <mergeCells count="74">
    <mergeCell ref="W19:X19"/>
    <mergeCell ref="L8:N9"/>
    <mergeCell ref="F9:G9"/>
    <mergeCell ref="K8:K9"/>
    <mergeCell ref="O17:O18"/>
    <mergeCell ref="P17:P18"/>
    <mergeCell ref="F13:G13"/>
    <mergeCell ref="I13:J13"/>
    <mergeCell ref="F16:I16"/>
    <mergeCell ref="N17:N18"/>
    <mergeCell ref="O39:P39"/>
    <mergeCell ref="L24:L25"/>
    <mergeCell ref="K24:K25"/>
    <mergeCell ref="J24:J25"/>
    <mergeCell ref="M39:N39"/>
    <mergeCell ref="O24:P24"/>
    <mergeCell ref="M38:N38"/>
    <mergeCell ref="M31:N31"/>
    <mergeCell ref="M32:N32"/>
    <mergeCell ref="B38:K38"/>
    <mergeCell ref="G31:I31"/>
    <mergeCell ref="G32:I32"/>
    <mergeCell ref="G34:I34"/>
    <mergeCell ref="G30:I30"/>
    <mergeCell ref="M29:N29"/>
    <mergeCell ref="M30:N30"/>
    <mergeCell ref="O3:P3"/>
    <mergeCell ref="W11:X11"/>
    <mergeCell ref="W8:X8"/>
    <mergeCell ref="W15:X15"/>
    <mergeCell ref="F5:K5"/>
    <mergeCell ref="M37:N37"/>
    <mergeCell ref="M36:N36"/>
    <mergeCell ref="M34:N34"/>
    <mergeCell ref="M35:N35"/>
    <mergeCell ref="M26:N26"/>
    <mergeCell ref="M27:N27"/>
    <mergeCell ref="M28:N28"/>
    <mergeCell ref="M33:N33"/>
    <mergeCell ref="M24:N24"/>
    <mergeCell ref="B22:P23"/>
    <mergeCell ref="G26:I26"/>
    <mergeCell ref="G28:I28"/>
    <mergeCell ref="G29:I29"/>
    <mergeCell ref="B24:I25"/>
    <mergeCell ref="O38:P38"/>
    <mergeCell ref="O32:P32"/>
    <mergeCell ref="O34:P34"/>
    <mergeCell ref="O26:P26"/>
    <mergeCell ref="O27:P27"/>
    <mergeCell ref="O28:P28"/>
    <mergeCell ref="O29:P29"/>
    <mergeCell ref="O30:P30"/>
    <mergeCell ref="O36:P36"/>
    <mergeCell ref="O35:P35"/>
    <mergeCell ref="O37:P37"/>
    <mergeCell ref="O31:P31"/>
    <mergeCell ref="O33:P33"/>
    <mergeCell ref="C58:K58"/>
    <mergeCell ref="C47:K47"/>
    <mergeCell ref="B26:B36"/>
    <mergeCell ref="C27:C35"/>
    <mergeCell ref="G33:I33"/>
    <mergeCell ref="G56:I56"/>
    <mergeCell ref="C52:C57"/>
    <mergeCell ref="C44:C46"/>
    <mergeCell ref="G57:I57"/>
    <mergeCell ref="C51:I51"/>
    <mergeCell ref="G53:I53"/>
    <mergeCell ref="G54:I54"/>
    <mergeCell ref="C43:G43"/>
    <mergeCell ref="B41:L42"/>
    <mergeCell ref="B49:L50"/>
    <mergeCell ref="G55:I55"/>
  </mergeCells>
  <phoneticPr fontId="2"/>
  <conditionalFormatting sqref="O11 O17">
    <cfRule type="cellIs" dxfId="29" priority="2" stopIfTrue="1" operator="equal">
      <formula>0</formula>
    </cfRule>
  </conditionalFormatting>
  <conditionalFormatting sqref="O26:P26">
    <cfRule type="cellIs" dxfId="28" priority="1" operator="greaterThan">
      <formula>0</formula>
    </cfRule>
  </conditionalFormatting>
  <dataValidations xWindow="403" yWindow="205" count="2">
    <dataValidation imeMode="off" allowBlank="1" showInputMessage="1" showErrorMessage="1" sqref="O9:O10 O14:O16 J16 G15:I15 F11"/>
    <dataValidation type="date" imeMode="off" operator="greaterThanOrEqual" allowBlank="1" showErrorMessage="1" sqref="O3">
      <formula1>1</formula1>
    </dataValidation>
  </dataValidations>
  <printOptions horizontalCentered="1"/>
  <pageMargins left="0.39370078740157483" right="0.35433070866141736" top="0.47244094488188981" bottom="0.27559055118110237" header="0.27559055118110237" footer="0"/>
  <pageSetup paperSize="8" scale="79" orientation="landscape" r:id="rId1"/>
  <headerFooter alignWithMargins="0">
    <oddHeader>&amp;R費用試算（コース不参加）：2020年度版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78" r:id="rId4" name="Drop Down 530">
              <controlPr defaultSize="0" autoLine="0" autoPict="0">
                <anchor moveWithCells="1">
                  <from>
                    <xdr:col>12</xdr:col>
                    <xdr:colOff>381000</xdr:colOff>
                    <xdr:row>7</xdr:row>
                    <xdr:rowOff>123825</xdr:rowOff>
                  </from>
                  <to>
                    <xdr:col>14</xdr:col>
                    <xdr:colOff>257175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5" name="Drop Down 526">
              <controlPr defaultSize="0" autoLine="0" autoPict="0">
                <anchor moveWithCells="1">
                  <from>
                    <xdr:col>4</xdr:col>
                    <xdr:colOff>504825</xdr:colOff>
                    <xdr:row>6</xdr:row>
                    <xdr:rowOff>0</xdr:rowOff>
                  </from>
                  <to>
                    <xdr:col>14</xdr:col>
                    <xdr:colOff>247650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51"/>
  <sheetViews>
    <sheetView showGridLines="0" zoomScale="85" zoomScaleNormal="85" workbookViewId="0"/>
  </sheetViews>
  <sheetFormatPr defaultColWidth="9" defaultRowHeight="13.5" customHeight="1"/>
  <cols>
    <col min="1" max="1" width="5.125" style="255" customWidth="1"/>
    <col min="2" max="2" width="3.5" style="255" customWidth="1"/>
    <col min="3" max="3" width="9.625" style="255" customWidth="1"/>
    <col min="4" max="4" width="13.625" style="255" customWidth="1"/>
    <col min="5" max="5" width="13.625" style="255" bestFit="1" customWidth="1"/>
    <col min="6" max="6" width="7.625" style="255" customWidth="1"/>
    <col min="7" max="7" width="8.875" style="255" customWidth="1"/>
    <col min="8" max="8" width="7.625" style="255" customWidth="1"/>
    <col min="9" max="9" width="8.25" style="255" customWidth="1"/>
    <col min="10" max="10" width="7.625" style="255" customWidth="1"/>
    <col min="11" max="11" width="8.375" style="255" customWidth="1"/>
    <col min="12" max="12" width="7.625" style="255" customWidth="1"/>
    <col min="13" max="13" width="8.375" style="255" customWidth="1"/>
    <col min="14" max="14" width="7.625" style="255" customWidth="1"/>
    <col min="15" max="15" width="8.375" style="255" customWidth="1"/>
    <col min="16" max="16" width="7.625" style="255" customWidth="1"/>
    <col min="17" max="17" width="8.25" style="255" customWidth="1"/>
    <col min="18" max="18" width="7.625" style="255" customWidth="1"/>
    <col min="19" max="19" width="8.25" style="255" customWidth="1"/>
    <col min="20" max="20" width="7.625" style="255" customWidth="1"/>
    <col min="21" max="21" width="8.25" style="255" customWidth="1"/>
    <col min="22" max="22" width="7.625" style="255" customWidth="1"/>
    <col min="23" max="23" width="8.25" style="255" customWidth="1"/>
    <col min="24" max="24" width="7.625" style="255" customWidth="1"/>
    <col min="25" max="25" width="8.25" style="255" customWidth="1"/>
    <col min="26" max="26" width="7.625" style="255" customWidth="1"/>
    <col min="27" max="27" width="8.25" style="255" customWidth="1"/>
    <col min="28" max="28" width="7.625" style="255" customWidth="1"/>
    <col min="29" max="29" width="8.25" style="255" customWidth="1"/>
    <col min="30" max="30" width="7.625" style="255" customWidth="1"/>
    <col min="31" max="31" width="8.125" style="255" customWidth="1"/>
    <col min="32" max="32" width="9.375" style="255" bestFit="1" customWidth="1"/>
    <col min="33" max="16384" width="9" style="255"/>
  </cols>
  <sheetData>
    <row r="1" spans="1:33" s="179" customFormat="1" ht="21" customHeight="1">
      <c r="A1" s="178" t="s">
        <v>240</v>
      </c>
      <c r="E1" s="272" t="s">
        <v>241</v>
      </c>
      <c r="F1" s="846">
        <f ca="1">コース不参加費用試算!O3</f>
        <v>44019</v>
      </c>
      <c r="G1" s="846"/>
      <c r="H1" s="255"/>
      <c r="I1" s="194"/>
      <c r="J1" s="255"/>
      <c r="K1" s="255"/>
      <c r="L1" s="255"/>
      <c r="M1" s="255"/>
      <c r="N1" s="255"/>
    </row>
    <row r="2" spans="1:33" s="179" customFormat="1" ht="21" customHeight="1">
      <c r="I2" s="265"/>
    </row>
    <row r="3" spans="1:33" s="179" customFormat="1" ht="21" customHeight="1">
      <c r="A3" s="273"/>
      <c r="B3" s="186"/>
      <c r="C3" s="830"/>
      <c r="D3" s="830"/>
      <c r="E3" s="274" t="s">
        <v>242</v>
      </c>
      <c r="F3" s="266" t="str">
        <f>"一般研修"&amp;コース不参加費用試算!G3</f>
        <v>一般研修</v>
      </c>
      <c r="G3" s="1"/>
      <c r="H3" s="266" t="s">
        <v>248</v>
      </c>
      <c r="K3" s="265"/>
    </row>
    <row r="4" spans="1:33" s="179" customFormat="1" ht="21" customHeight="1">
      <c r="A4" s="186"/>
      <c r="B4" s="831"/>
      <c r="C4" s="831"/>
      <c r="D4" s="186"/>
      <c r="E4" s="266"/>
      <c r="F4" s="266" t="s">
        <v>243</v>
      </c>
      <c r="G4" s="1"/>
      <c r="H4" s="275" t="str">
        <f>TEXT(コース不参加費用試算!$F$13,"yyyy/mm/dd")&amp;"～"&amp;TEXT(コース不参加費用試算!$I$13,"yyyy/mm/dd")&amp;"("&amp;コース不参加費用試算!$F$11&amp;"日)"</f>
        <v>2020/04/14～2020/08/11(120日)</v>
      </c>
      <c r="K4" s="265"/>
      <c r="L4" s="265"/>
    </row>
    <row r="5" spans="1:33" s="179" customFormat="1" ht="13.5" customHeight="1" thickBot="1">
      <c r="E5" s="194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</row>
    <row r="6" spans="1:33" s="179" customFormat="1" ht="21" customHeight="1">
      <c r="E6" s="276"/>
      <c r="F6" s="860" t="str">
        <f>IF(F7="","","1ヶ月目")</f>
        <v>1ヶ月目</v>
      </c>
      <c r="G6" s="829"/>
      <c r="H6" s="828" t="str">
        <f>IF(H7="","","2ヶ月目")</f>
        <v>2ヶ月目</v>
      </c>
      <c r="I6" s="829"/>
      <c r="J6" s="828" t="str">
        <f>IF(J7="","","3ヶ月目")</f>
        <v>3ヶ月目</v>
      </c>
      <c r="K6" s="829"/>
      <c r="L6" s="828" t="str">
        <f>IF(L7="","","4ヶ月目")</f>
        <v>4ヶ月目</v>
      </c>
      <c r="M6" s="829"/>
      <c r="N6" s="828" t="str">
        <f>IF(N7="","","5ヶ月目")</f>
        <v>5ヶ月目</v>
      </c>
      <c r="O6" s="829"/>
      <c r="P6" s="828" t="str">
        <f>IF(P7="","","6ヶ月目")</f>
        <v/>
      </c>
      <c r="Q6" s="829"/>
      <c r="R6" s="828" t="str">
        <f>IF(R7="","","7ヶ月目")</f>
        <v/>
      </c>
      <c r="S6" s="829"/>
      <c r="T6" s="828" t="str">
        <f>IF(T7="","","8ヶ月目")</f>
        <v/>
      </c>
      <c r="U6" s="829"/>
      <c r="V6" s="828" t="str">
        <f>IF(V7="","","9ヶ月目")</f>
        <v/>
      </c>
      <c r="W6" s="829"/>
      <c r="X6" s="828" t="str">
        <f>IF(X7="","","10ヶ月目")</f>
        <v/>
      </c>
      <c r="Y6" s="829"/>
      <c r="Z6" s="828" t="str">
        <f>IF(Z7="","","11ヶ月目")</f>
        <v/>
      </c>
      <c r="AA6" s="829"/>
      <c r="AB6" s="828" t="str">
        <f>IF(AB7="","","12ヶ月目")</f>
        <v/>
      </c>
      <c r="AC6" s="829"/>
      <c r="AD6" s="828" t="str">
        <f>IF(AD7="","","13ヶ月目")</f>
        <v/>
      </c>
      <c r="AE6" s="855"/>
      <c r="AF6" s="853" t="s">
        <v>110</v>
      </c>
    </row>
    <row r="7" spans="1:33" s="179" customFormat="1" ht="21" customHeight="1">
      <c r="E7" s="277" t="s">
        <v>111</v>
      </c>
      <c r="F7" s="856" t="str">
        <f>IF(F10=0,"",YEAR(計算シート!$P15)&amp;"年"&amp;MONTH(計算シート!$P15)&amp;"月")</f>
        <v>2020年4月</v>
      </c>
      <c r="G7" s="845"/>
      <c r="H7" s="844" t="str">
        <f>IF(H10=0,"",IF(MONTH(計算シート!$P15)=12,YEAR(計算シート!$P16)&amp;"年"&amp;MONTH(計算シート!$P16)&amp;"月",MONTH(計算シート!$P16)&amp;"月"))</f>
        <v>5月</v>
      </c>
      <c r="I7" s="845"/>
      <c r="J7" s="844" t="str">
        <f>IF(J10=0,"",IF(MONTH(計算シート!$P16)=12,YEAR(計算シート!$P17)&amp;"年"&amp;MONTH(計算シート!$P17)&amp;"月",MONTH(計算シート!$P17)&amp;"月"))</f>
        <v>6月</v>
      </c>
      <c r="K7" s="845"/>
      <c r="L7" s="844" t="str">
        <f>IF(L10=0,"",IF(MONTH(計算シート!$P17)=12,YEAR(計算シート!$P18)&amp;"年"&amp;MONTH(計算シート!$P18)&amp;"月",MONTH(計算シート!$P18)&amp;"月"))</f>
        <v>7月</v>
      </c>
      <c r="M7" s="845"/>
      <c r="N7" s="844" t="str">
        <f>IF(N10=0,"",IF(MONTH(計算シート!$P18)=12,YEAR(計算シート!$P19)&amp;"年"&amp;MONTH(計算シート!$P19)&amp;"月",MONTH(計算シート!$P19)&amp;"月"))</f>
        <v>8月</v>
      </c>
      <c r="O7" s="845"/>
      <c r="P7" s="844" t="str">
        <f>IF(P10=0,"",IF(MONTH(計算シート!$P19)=12,YEAR(計算シート!$P20)&amp;"年"&amp;MONTH(計算シート!$P20)&amp;"月",MONTH(計算シート!$P20)&amp;"月"))</f>
        <v/>
      </c>
      <c r="Q7" s="845"/>
      <c r="R7" s="844" t="str">
        <f>IF(R10=0,"",IF(MONTH(計算シート!$P20)=12,YEAR(計算シート!$P21)&amp;"年"&amp;MONTH(計算シート!$P21)&amp;"月",MONTH(計算シート!$P21)&amp;"月"))</f>
        <v/>
      </c>
      <c r="S7" s="845"/>
      <c r="T7" s="844" t="str">
        <f>IF(T10=0,"",IF(MONTH(計算シート!$P21)=12,YEAR(計算シート!$P22)&amp;"年"&amp;MONTH(計算シート!$P22)&amp;"月",MONTH(計算シート!$P22)&amp;"月"))</f>
        <v/>
      </c>
      <c r="U7" s="845"/>
      <c r="V7" s="844" t="str">
        <f>IF(V10=0,"",IF(MONTH(計算シート!$P22)=12,YEAR(計算シート!$P23)&amp;"年"&amp;MONTH(計算シート!$P23)&amp;"月",MONTH(計算シート!$P23)&amp;"月"))</f>
        <v/>
      </c>
      <c r="W7" s="845"/>
      <c r="X7" s="844" t="str">
        <f>IF(X10=0,"",IF(MONTH(計算シート!$P23)=12,YEAR(計算シート!$P24)&amp;"年"&amp;MONTH(計算シート!$P24)&amp;"月",MONTH(計算シート!$P24)&amp;"月"))</f>
        <v/>
      </c>
      <c r="Y7" s="845"/>
      <c r="Z7" s="844" t="str">
        <f>IF(Z10=0,"",IF(MONTH(計算シート!$P24)=12,YEAR(計算シート!$P25)&amp;"年"&amp;MONTH(計算シート!$P25)&amp;"月",MONTH(計算シート!$P25)&amp;"月"))</f>
        <v/>
      </c>
      <c r="AA7" s="845"/>
      <c r="AB7" s="844" t="str">
        <f>IF(AB10=0,"",IF(MONTH(計算シート!$P25)=12,YEAR(計算シート!$P26)&amp;"年"&amp;MONTH(計算シート!$P26)&amp;"月",MONTH(計算シート!$P26)&amp;"月"))</f>
        <v/>
      </c>
      <c r="AC7" s="845"/>
      <c r="AD7" s="844" t="str">
        <f>IF(AD10=0,"",IF(MONTH(計算シート!$P26)=12,YEAR(計算シート!$P27)&amp;"年"&amp;MONTH(計算シート!$P27)&amp;"月",MONTH(計算シート!$P27)&amp;"月"))</f>
        <v/>
      </c>
      <c r="AE7" s="845"/>
      <c r="AF7" s="854"/>
    </row>
    <row r="8" spans="1:33" s="179" customFormat="1" ht="21" customHeight="1">
      <c r="E8" s="610" t="s">
        <v>112</v>
      </c>
      <c r="F8" s="619">
        <f>計算シート!T15</f>
        <v>0</v>
      </c>
      <c r="G8" s="620" t="s">
        <v>108</v>
      </c>
      <c r="H8" s="621">
        <f>計算シート!T16</f>
        <v>0</v>
      </c>
      <c r="I8" s="620" t="s">
        <v>108</v>
      </c>
      <c r="J8" s="621">
        <f>計算シート!T17</f>
        <v>0</v>
      </c>
      <c r="K8" s="620" t="s">
        <v>108</v>
      </c>
      <c r="L8" s="621">
        <f>計算シート!T18</f>
        <v>0</v>
      </c>
      <c r="M8" s="620" t="s">
        <v>108</v>
      </c>
      <c r="N8" s="621">
        <f>計算シート!T19</f>
        <v>0</v>
      </c>
      <c r="O8" s="620" t="s">
        <v>108</v>
      </c>
      <c r="P8" s="621">
        <f>計算シート!T20</f>
        <v>0</v>
      </c>
      <c r="Q8" s="620" t="s">
        <v>108</v>
      </c>
      <c r="R8" s="621">
        <f>計算シート!T21</f>
        <v>0</v>
      </c>
      <c r="S8" s="620" t="s">
        <v>108</v>
      </c>
      <c r="T8" s="621">
        <f>計算シート!T22</f>
        <v>0</v>
      </c>
      <c r="U8" s="620" t="s">
        <v>108</v>
      </c>
      <c r="V8" s="621">
        <f>計算シート!T23</f>
        <v>0</v>
      </c>
      <c r="W8" s="620" t="s">
        <v>108</v>
      </c>
      <c r="X8" s="621">
        <f>計算シート!T24</f>
        <v>0</v>
      </c>
      <c r="Y8" s="620" t="s">
        <v>108</v>
      </c>
      <c r="Z8" s="621">
        <f>計算シート!T25</f>
        <v>0</v>
      </c>
      <c r="AA8" s="620" t="s">
        <v>108</v>
      </c>
      <c r="AB8" s="621">
        <f>計算シート!T26</f>
        <v>0</v>
      </c>
      <c r="AC8" s="620" t="s">
        <v>108</v>
      </c>
      <c r="AD8" s="621">
        <f>計算シート!T27</f>
        <v>0</v>
      </c>
      <c r="AE8" s="622" t="s">
        <v>108</v>
      </c>
      <c r="AF8" s="611">
        <f>SUM(F8:AE8)</f>
        <v>0</v>
      </c>
    </row>
    <row r="9" spans="1:33" s="179" customFormat="1" ht="21" customHeight="1">
      <c r="E9" s="278" t="s">
        <v>113</v>
      </c>
      <c r="F9" s="279">
        <f>計算シート!U15</f>
        <v>17</v>
      </c>
      <c r="G9" s="280" t="s">
        <v>108</v>
      </c>
      <c r="H9" s="281">
        <f>計算シート!U16</f>
        <v>31</v>
      </c>
      <c r="I9" s="280" t="s">
        <v>108</v>
      </c>
      <c r="J9" s="281">
        <f>計算シート!U17</f>
        <v>30</v>
      </c>
      <c r="K9" s="280" t="s">
        <v>108</v>
      </c>
      <c r="L9" s="281">
        <f>計算シート!U18</f>
        <v>31</v>
      </c>
      <c r="M9" s="280" t="s">
        <v>108</v>
      </c>
      <c r="N9" s="281">
        <f>計算シート!U19</f>
        <v>11</v>
      </c>
      <c r="O9" s="280" t="s">
        <v>108</v>
      </c>
      <c r="P9" s="281">
        <f>計算シート!U20</f>
        <v>0</v>
      </c>
      <c r="Q9" s="280" t="s">
        <v>108</v>
      </c>
      <c r="R9" s="281">
        <f>計算シート!U21</f>
        <v>0</v>
      </c>
      <c r="S9" s="280" t="s">
        <v>108</v>
      </c>
      <c r="T9" s="281">
        <f>計算シート!U22</f>
        <v>0</v>
      </c>
      <c r="U9" s="280" t="s">
        <v>108</v>
      </c>
      <c r="V9" s="281">
        <f>計算シート!U23</f>
        <v>0</v>
      </c>
      <c r="W9" s="280" t="s">
        <v>108</v>
      </c>
      <c r="X9" s="281">
        <f>計算シート!U24</f>
        <v>0</v>
      </c>
      <c r="Y9" s="280" t="s">
        <v>108</v>
      </c>
      <c r="Z9" s="281">
        <f>計算シート!U25</f>
        <v>0</v>
      </c>
      <c r="AA9" s="280" t="s">
        <v>108</v>
      </c>
      <c r="AB9" s="281">
        <f>計算シート!U26</f>
        <v>0</v>
      </c>
      <c r="AC9" s="280" t="s">
        <v>108</v>
      </c>
      <c r="AD9" s="281">
        <f>計算シート!U27</f>
        <v>0</v>
      </c>
      <c r="AE9" s="282" t="s">
        <v>108</v>
      </c>
      <c r="AF9" s="283">
        <f>SUM(F9:AE9)</f>
        <v>120</v>
      </c>
    </row>
    <row r="10" spans="1:33" s="179" customFormat="1" ht="21" customHeight="1" thickBot="1">
      <c r="E10" s="284" t="s">
        <v>114</v>
      </c>
      <c r="F10" s="285">
        <f>計算シート!S15</f>
        <v>17</v>
      </c>
      <c r="G10" s="286" t="s">
        <v>108</v>
      </c>
      <c r="H10" s="287">
        <f>計算シート!S16</f>
        <v>31</v>
      </c>
      <c r="I10" s="286" t="s">
        <v>108</v>
      </c>
      <c r="J10" s="287">
        <f>計算シート!S17</f>
        <v>30</v>
      </c>
      <c r="K10" s="286" t="s">
        <v>108</v>
      </c>
      <c r="L10" s="287">
        <f>計算シート!S18</f>
        <v>31</v>
      </c>
      <c r="M10" s="286" t="s">
        <v>108</v>
      </c>
      <c r="N10" s="287">
        <f>計算シート!S19</f>
        <v>11</v>
      </c>
      <c r="O10" s="286" t="s">
        <v>108</v>
      </c>
      <c r="P10" s="287">
        <f>計算シート!S20</f>
        <v>0</v>
      </c>
      <c r="Q10" s="286" t="s">
        <v>108</v>
      </c>
      <c r="R10" s="287">
        <f>計算シート!S21</f>
        <v>0</v>
      </c>
      <c r="S10" s="286" t="s">
        <v>108</v>
      </c>
      <c r="T10" s="287">
        <f>計算シート!S22</f>
        <v>0</v>
      </c>
      <c r="U10" s="286" t="s">
        <v>108</v>
      </c>
      <c r="V10" s="287">
        <f>計算シート!S23</f>
        <v>0</v>
      </c>
      <c r="W10" s="286" t="s">
        <v>108</v>
      </c>
      <c r="X10" s="287">
        <f>計算シート!S24</f>
        <v>0</v>
      </c>
      <c r="Y10" s="286" t="s">
        <v>108</v>
      </c>
      <c r="Z10" s="287">
        <f>計算シート!S25</f>
        <v>0</v>
      </c>
      <c r="AA10" s="286" t="s">
        <v>108</v>
      </c>
      <c r="AB10" s="287">
        <f>計算シート!S26</f>
        <v>0</v>
      </c>
      <c r="AC10" s="286" t="s">
        <v>108</v>
      </c>
      <c r="AD10" s="287">
        <f>計算シート!S27</f>
        <v>0</v>
      </c>
      <c r="AE10" s="288" t="s">
        <v>108</v>
      </c>
      <c r="AF10" s="289">
        <f>SUM(F10:AE10)</f>
        <v>120</v>
      </c>
    </row>
    <row r="11" spans="1:33" s="179" customFormat="1" ht="20.25" customHeight="1" thickBot="1">
      <c r="A11" s="857" t="s">
        <v>115</v>
      </c>
      <c r="B11" s="858"/>
      <c r="C11" s="858"/>
      <c r="D11" s="859"/>
      <c r="E11" s="290" t="s">
        <v>110</v>
      </c>
      <c r="F11" s="291" t="s">
        <v>104</v>
      </c>
      <c r="G11" s="292" t="s">
        <v>116</v>
      </c>
      <c r="H11" s="293" t="s">
        <v>104</v>
      </c>
      <c r="I11" s="292" t="s">
        <v>116</v>
      </c>
      <c r="J11" s="293" t="s">
        <v>104</v>
      </c>
      <c r="K11" s="292" t="s">
        <v>116</v>
      </c>
      <c r="L11" s="293" t="s">
        <v>104</v>
      </c>
      <c r="M11" s="292" t="s">
        <v>116</v>
      </c>
      <c r="N11" s="293" t="s">
        <v>104</v>
      </c>
      <c r="O11" s="292" t="s">
        <v>116</v>
      </c>
      <c r="P11" s="294" t="s">
        <v>104</v>
      </c>
      <c r="Q11" s="292" t="s">
        <v>116</v>
      </c>
      <c r="R11" s="294" t="s">
        <v>104</v>
      </c>
      <c r="S11" s="292" t="s">
        <v>116</v>
      </c>
      <c r="T11" s="294" t="s">
        <v>104</v>
      </c>
      <c r="U11" s="292" t="s">
        <v>116</v>
      </c>
      <c r="V11" s="294" t="s">
        <v>104</v>
      </c>
      <c r="W11" s="292" t="s">
        <v>116</v>
      </c>
      <c r="X11" s="294" t="s">
        <v>104</v>
      </c>
      <c r="Y11" s="292" t="s">
        <v>116</v>
      </c>
      <c r="Z11" s="294" t="s">
        <v>104</v>
      </c>
      <c r="AA11" s="292" t="s">
        <v>116</v>
      </c>
      <c r="AB11" s="294" t="s">
        <v>104</v>
      </c>
      <c r="AC11" s="292" t="s">
        <v>116</v>
      </c>
      <c r="AD11" s="294" t="s">
        <v>104</v>
      </c>
      <c r="AE11" s="292" t="s">
        <v>116</v>
      </c>
      <c r="AF11" s="295" t="s">
        <v>117</v>
      </c>
    </row>
    <row r="12" spans="1:33" s="179" customFormat="1" ht="22.5" customHeight="1">
      <c r="A12" s="847" t="s">
        <v>274</v>
      </c>
      <c r="B12" s="586" t="s">
        <v>118</v>
      </c>
      <c r="C12" s="587"/>
      <c r="D12" s="588"/>
      <c r="E12" s="589"/>
      <c r="F12" s="590"/>
      <c r="G12" s="591"/>
      <c r="H12" s="592"/>
      <c r="I12" s="591"/>
      <c r="J12" s="592"/>
      <c r="K12" s="591"/>
      <c r="L12" s="592"/>
      <c r="M12" s="591"/>
      <c r="N12" s="592"/>
      <c r="O12" s="591"/>
      <c r="P12" s="592"/>
      <c r="Q12" s="591"/>
      <c r="R12" s="592"/>
      <c r="S12" s="591"/>
      <c r="T12" s="592"/>
      <c r="U12" s="591"/>
      <c r="V12" s="592"/>
      <c r="W12" s="591"/>
      <c r="X12" s="592"/>
      <c r="Y12" s="591"/>
      <c r="Z12" s="592"/>
      <c r="AA12" s="591"/>
      <c r="AB12" s="592"/>
      <c r="AC12" s="591"/>
      <c r="AD12" s="592"/>
      <c r="AE12" s="593"/>
      <c r="AF12" s="589"/>
    </row>
    <row r="13" spans="1:33" s="179" customFormat="1" ht="30" customHeight="1">
      <c r="A13" s="848"/>
      <c r="B13" s="594"/>
      <c r="C13" s="595" t="s">
        <v>119</v>
      </c>
      <c r="D13" s="596" t="s">
        <v>120</v>
      </c>
      <c r="E13" s="597">
        <f>コース不参加費用試算!$L$53</f>
        <v>0</v>
      </c>
      <c r="F13" s="598"/>
      <c r="G13" s="599"/>
      <c r="H13" s="600"/>
      <c r="I13" s="599"/>
      <c r="J13" s="600"/>
      <c r="K13" s="599"/>
      <c r="L13" s="600"/>
      <c r="M13" s="599"/>
      <c r="N13" s="600"/>
      <c r="O13" s="599"/>
      <c r="P13" s="600"/>
      <c r="Q13" s="599"/>
      <c r="R13" s="600"/>
      <c r="S13" s="599"/>
      <c r="T13" s="600"/>
      <c r="U13" s="599"/>
      <c r="V13" s="600"/>
      <c r="W13" s="599"/>
      <c r="X13" s="600"/>
      <c r="Y13" s="599"/>
      <c r="Z13" s="600"/>
      <c r="AA13" s="599"/>
      <c r="AB13" s="600"/>
      <c r="AC13" s="599"/>
      <c r="AD13" s="601"/>
      <c r="AE13" s="602"/>
      <c r="AF13" s="597">
        <f ca="1">SUMIF($F$11:AE13,"金額",F13:AE13)</f>
        <v>0</v>
      </c>
    </row>
    <row r="14" spans="1:33" s="179" customFormat="1" ht="30" customHeight="1">
      <c r="A14" s="848"/>
      <c r="B14" s="594"/>
      <c r="C14" s="603" t="s">
        <v>121</v>
      </c>
      <c r="D14" s="604" t="s">
        <v>122</v>
      </c>
      <c r="E14" s="605">
        <f>コース不参加費用試算!$L$54</f>
        <v>0</v>
      </c>
      <c r="F14" s="612"/>
      <c r="G14" s="613"/>
      <c r="H14" s="612"/>
      <c r="I14" s="613">
        <f>IF(H6="","",コース不参加費用試算!$J$54*H14)</f>
        <v>0</v>
      </c>
      <c r="J14" s="612">
        <f t="shared" ref="J14" si="0">IF(J6="","",J8-J13-J15)</f>
        <v>0</v>
      </c>
      <c r="K14" s="613">
        <f>IF(J6="","",コース不参加費用試算!$J$54*J14)</f>
        <v>0</v>
      </c>
      <c r="L14" s="612">
        <f t="shared" ref="L14" si="1">IF(L6="","",L8-L13-L15)</f>
        <v>0</v>
      </c>
      <c r="M14" s="613">
        <f>IF(L6="","",コース不参加費用試算!$J$54*L14)</f>
        <v>0</v>
      </c>
      <c r="N14" s="612">
        <f t="shared" ref="N14" si="2">IF(N6="","",N8-N13-N15)</f>
        <v>0</v>
      </c>
      <c r="O14" s="613">
        <f>IF(N6="","",コース不参加費用試算!$J$54*N14)</f>
        <v>0</v>
      </c>
      <c r="P14" s="612" t="str">
        <f t="shared" ref="P14" si="3">IF(P6="","",P8-P13-P15)</f>
        <v/>
      </c>
      <c r="Q14" s="613" t="str">
        <f>IF(P6="","",コース不参加費用試算!$J$54*P14)</f>
        <v/>
      </c>
      <c r="R14" s="612" t="str">
        <f t="shared" ref="R14" si="4">IF(R6="","",R8-R13-R15)</f>
        <v/>
      </c>
      <c r="S14" s="613" t="str">
        <f>IF(R6="","",コース不参加費用試算!$J$54*R14)</f>
        <v/>
      </c>
      <c r="T14" s="612" t="str">
        <f t="shared" ref="T14" si="5">IF(T6="","",T8-T13-T15)</f>
        <v/>
      </c>
      <c r="U14" s="613" t="str">
        <f>IF(T6="","",コース不参加費用試算!$J$54*T14)</f>
        <v/>
      </c>
      <c r="V14" s="612" t="str">
        <f t="shared" ref="V14" si="6">IF(V6="","",V8-V13-V15)</f>
        <v/>
      </c>
      <c r="W14" s="613" t="str">
        <f>IF(V6="","",コース不参加費用試算!$J$54*V14)</f>
        <v/>
      </c>
      <c r="X14" s="612" t="str">
        <f t="shared" ref="X14" si="7">IF(X6="","",X8-X13-X15)</f>
        <v/>
      </c>
      <c r="Y14" s="613" t="str">
        <f>IF(X6="","",コース不参加費用試算!$J$54*X14)</f>
        <v/>
      </c>
      <c r="Z14" s="612" t="str">
        <f t="shared" ref="Z14" si="8">IF(Z6="","",Z8-Z13-Z15)</f>
        <v/>
      </c>
      <c r="AA14" s="613" t="str">
        <f>IF(Z6="","",コース不参加費用試算!$J$54*Z14)</f>
        <v/>
      </c>
      <c r="AB14" s="612" t="str">
        <f t="shared" ref="AB14" si="9">IF(AB6="","",AB8-AB13-AB15)</f>
        <v/>
      </c>
      <c r="AC14" s="613" t="str">
        <f>IF(AB6="","",コース不参加費用試算!$J$54*AB14)</f>
        <v/>
      </c>
      <c r="AD14" s="612" t="str">
        <f t="shared" ref="AD14" si="10">IF(AD6="","",AD8-AD13-AD15)</f>
        <v/>
      </c>
      <c r="AE14" s="613" t="str">
        <f>IF(AD6="","",コース不参加費用試算!$J$54*AD14)</f>
        <v/>
      </c>
      <c r="AF14" s="605">
        <f ca="1">SUMIF($F$11:AE14,"金額",F14:AE14)</f>
        <v>0</v>
      </c>
    </row>
    <row r="15" spans="1:33" s="179" customFormat="1" ht="22.5" customHeight="1">
      <c r="A15" s="848"/>
      <c r="B15" s="586"/>
      <c r="C15" s="606" t="s">
        <v>69</v>
      </c>
      <c r="D15" s="607" t="s">
        <v>107</v>
      </c>
      <c r="E15" s="597">
        <f>コース不参加費用試算!$L$55</f>
        <v>0</v>
      </c>
      <c r="F15" s="614"/>
      <c r="G15" s="615"/>
      <c r="H15" s="616"/>
      <c r="I15" s="615" t="str">
        <f>IF(H15="","",(H15*コース不参加費用試算!$J$30))</f>
        <v/>
      </c>
      <c r="J15" s="616">
        <f>IF(J6=計算シート!$J$48,VLOOKUP(J6,【研修旅行】,2,0),IF(J6=計算シート!$J$49,VLOOKUP(J6,【研修旅行】,2,0),0))</f>
        <v>0</v>
      </c>
      <c r="K15" s="615">
        <f>IF(J15="","",(J15*コース不参加費用試算!$J$30))</f>
        <v>0</v>
      </c>
      <c r="L15" s="616">
        <f>IF(L6=計算シート!$J$48,VLOOKUP(L6,【研修旅行】,2,0),IF(L6=計算シート!$J$49,VLOOKUP(L6,【研修旅行】,2,0),0))</f>
        <v>0</v>
      </c>
      <c r="M15" s="615">
        <f>IF(L15="","",(L15*コース不参加費用試算!$J$30))</f>
        <v>0</v>
      </c>
      <c r="N15" s="616">
        <f>IF(N6=計算シート!$J$48,VLOOKUP(N6,【研修旅行】,2,0),IF(N6=計算シート!$J$49,VLOOKUP(N6,【研修旅行】,2,0),0))</f>
        <v>0</v>
      </c>
      <c r="O15" s="615">
        <f>IF(N15="","",(N15*コース不参加費用試算!$J$30))</f>
        <v>0</v>
      </c>
      <c r="P15" s="616" t="str">
        <f>IF(P6=計算シート!$J$48,VLOOKUP(P6,【研修旅行】,2,0),IF(P6=計算シート!$J$49,VLOOKUP(P6,【研修旅行】,2,0),0))</f>
        <v/>
      </c>
      <c r="Q15" s="615" t="str">
        <f>IF(P15="","",(P15*コース不参加費用試算!$J$30))</f>
        <v/>
      </c>
      <c r="R15" s="616" t="str">
        <f>IF(R6=計算シート!$J$48,VLOOKUP(R6,【研修旅行】,2,0),IF(R6=計算シート!$J$49,VLOOKUP(R6,【研修旅行】,2,0),0))</f>
        <v/>
      </c>
      <c r="S15" s="615" t="str">
        <f>IF(R15="","",(R15*コース不参加費用試算!$J$30))</f>
        <v/>
      </c>
      <c r="T15" s="616" t="str">
        <f>IF(T6=計算シート!$J$48,VLOOKUP(T6,【研修旅行】,2,0),IF(T6=計算シート!$J$49,VLOOKUP(T6,【研修旅行】,2,0),0))</f>
        <v/>
      </c>
      <c r="U15" s="615" t="str">
        <f>IF(T15="","",(T15*コース不参加費用試算!$J$30))</f>
        <v/>
      </c>
      <c r="V15" s="616" t="str">
        <f>IF(V6=計算シート!$J$48,VLOOKUP(V6,【研修旅行】,2,0),IF(V6=計算シート!$J$49,VLOOKUP(V6,【研修旅行】,2,0),0))</f>
        <v/>
      </c>
      <c r="W15" s="615" t="str">
        <f>IF(V15="","",(V15*コース不参加費用試算!$J$30))</f>
        <v/>
      </c>
      <c r="X15" s="616" t="str">
        <f>IF(X6=計算シート!$J$48,VLOOKUP(X6,【研修旅行】,2,0),IF(X6=計算シート!$J$49,VLOOKUP(X6,【研修旅行】,2,0),0))</f>
        <v/>
      </c>
      <c r="Y15" s="615" t="str">
        <f>IF(X15="","",(X15*コース不参加費用試算!$J$30))</f>
        <v/>
      </c>
      <c r="Z15" s="616" t="str">
        <f>IF(Z6=計算シート!$J$48,VLOOKUP(Z6,【研修旅行】,2,0),IF(Z6=計算シート!$J$49,VLOOKUP(Z6,【研修旅行】,2,0),0))</f>
        <v/>
      </c>
      <c r="AA15" s="615" t="str">
        <f>IF(Z15="","",(Z15*コース不参加費用試算!$J$30))</f>
        <v/>
      </c>
      <c r="AB15" s="616" t="str">
        <f>IF(AB6=計算シート!$J$48,VLOOKUP(AB6,【研修旅行】,2,0),IF(AB6=計算シート!$J$49,VLOOKUP(AB6,【研修旅行】,2,0),0))</f>
        <v/>
      </c>
      <c r="AC15" s="615" t="str">
        <f>IF(AB15="","",(AB15*コース不参加費用試算!$J$30))</f>
        <v/>
      </c>
      <c r="AD15" s="616" t="str">
        <f>IF(AD6=計算シート!$J$48,VLOOKUP(AD6,【研修旅行】,2,0),IF(AD6=計算シート!$J$49,VLOOKUP(AD6,【研修旅行】,2,0),0))</f>
        <v/>
      </c>
      <c r="AE15" s="615" t="str">
        <f>IF(AD15="","",(AD15*コース不参加費用試算!$J$30))</f>
        <v/>
      </c>
      <c r="AF15" s="597"/>
      <c r="AG15" s="299"/>
    </row>
    <row r="16" spans="1:33" s="179" customFormat="1" ht="22.5" customHeight="1">
      <c r="A16" s="848"/>
      <c r="B16" s="586"/>
      <c r="C16" s="608"/>
      <c r="D16" s="609" t="s">
        <v>123</v>
      </c>
      <c r="E16" s="605">
        <f>コース不参加費用試算!$L$56</f>
        <v>0</v>
      </c>
      <c r="F16" s="617"/>
      <c r="G16" s="613"/>
      <c r="H16" s="618"/>
      <c r="I16" s="613" t="str">
        <f>IF(H16="","",(H16*コース不参加費用試算!$J$31))</f>
        <v/>
      </c>
      <c r="J16" s="618">
        <f t="shared" ref="J16:AD16" si="11">J15</f>
        <v>0</v>
      </c>
      <c r="K16" s="613">
        <f>IF(J16="","",(J16*コース不参加費用試算!$J$31))</f>
        <v>0</v>
      </c>
      <c r="L16" s="618">
        <f t="shared" si="11"/>
        <v>0</v>
      </c>
      <c r="M16" s="613">
        <f>IF(L16="","",(L16*コース不参加費用試算!$J$31))</f>
        <v>0</v>
      </c>
      <c r="N16" s="618">
        <f t="shared" si="11"/>
        <v>0</v>
      </c>
      <c r="O16" s="613">
        <f>IF(N16="","",(N16*コース不参加費用試算!$J$31))</f>
        <v>0</v>
      </c>
      <c r="P16" s="618" t="str">
        <f t="shared" si="11"/>
        <v/>
      </c>
      <c r="Q16" s="613" t="str">
        <f>IF(P16="","",(P16*コース不参加費用試算!$J$31))</f>
        <v/>
      </c>
      <c r="R16" s="618" t="str">
        <f t="shared" si="11"/>
        <v/>
      </c>
      <c r="S16" s="613" t="str">
        <f>IF(R16="","",(R16*コース不参加費用試算!$J$31))</f>
        <v/>
      </c>
      <c r="T16" s="618" t="str">
        <f t="shared" si="11"/>
        <v/>
      </c>
      <c r="U16" s="613" t="str">
        <f>IF(T16="","",(T16*コース不参加費用試算!$J$31))</f>
        <v/>
      </c>
      <c r="V16" s="618" t="str">
        <f t="shared" si="11"/>
        <v/>
      </c>
      <c r="W16" s="613" t="str">
        <f>IF(V16="","",(V16*コース不参加費用試算!$J$31))</f>
        <v/>
      </c>
      <c r="X16" s="618" t="str">
        <f t="shared" si="11"/>
        <v/>
      </c>
      <c r="Y16" s="613" t="str">
        <f>IF(X16="","",(X16*コース不参加費用試算!$J$31))</f>
        <v/>
      </c>
      <c r="Z16" s="618" t="str">
        <f t="shared" si="11"/>
        <v/>
      </c>
      <c r="AA16" s="613" t="str">
        <f>IF(Z16="","",(Z16*コース不参加費用試算!$J$31))</f>
        <v/>
      </c>
      <c r="AB16" s="618" t="str">
        <f t="shared" si="11"/>
        <v/>
      </c>
      <c r="AC16" s="613" t="str">
        <f>IF(AB16="","",(AB16*コース不参加費用試算!$J$31))</f>
        <v/>
      </c>
      <c r="AD16" s="618" t="str">
        <f t="shared" si="11"/>
        <v/>
      </c>
      <c r="AE16" s="613" t="str">
        <f>IF(AD16="","",(AD16*コース不参加費用試算!$J$31))</f>
        <v/>
      </c>
      <c r="AF16" s="605">
        <f ca="1">SUMIF($F$11:AE16,"金額",F16:AE16)</f>
        <v>0</v>
      </c>
      <c r="AG16" s="299"/>
    </row>
    <row r="17" spans="1:32" s="179" customFormat="1" ht="30" customHeight="1">
      <c r="A17" s="848"/>
      <c r="B17" s="300" t="s">
        <v>124</v>
      </c>
      <c r="C17" s="301"/>
      <c r="D17" s="302" t="str">
        <f>IF(【実地研修中の宿泊】=1,"宿舎費+食費
　(朝･夕食費)","宿舎費")</f>
        <v>宿舎費</v>
      </c>
      <c r="E17" s="303">
        <f>コース不参加費用試算!$L$57</f>
        <v>0</v>
      </c>
      <c r="F17" s="304">
        <f>IF(【実地研修中の宿泊】=1,F9,0)</f>
        <v>0</v>
      </c>
      <c r="G17" s="305">
        <f>IF(【実地研修中の宿泊】=1,コース不参加費用試算!$J$32*F17, 0)</f>
        <v>0</v>
      </c>
      <c r="H17" s="304">
        <f>IF(【実地研修中の宿泊】=1,H9,0)</f>
        <v>0</v>
      </c>
      <c r="I17" s="305">
        <f>IF(【実地研修中の宿泊】=1,コース不参加費用試算!$J$32*H17, 0)</f>
        <v>0</v>
      </c>
      <c r="J17" s="304">
        <f>IF(【実地研修中の宿泊】=1,J9,0)</f>
        <v>0</v>
      </c>
      <c r="K17" s="305">
        <f>IF(【実地研修中の宿泊】=1,コース不参加費用試算!$J$32*J17, 0)</f>
        <v>0</v>
      </c>
      <c r="L17" s="304">
        <f>IF(【実地研修中の宿泊】=1,L9,0)</f>
        <v>0</v>
      </c>
      <c r="M17" s="305">
        <f>IF(【実地研修中の宿泊】=1,コース不参加費用試算!$J$32*L17, 0)</f>
        <v>0</v>
      </c>
      <c r="N17" s="304">
        <f>IF(【実地研修中の宿泊】=1,N9,0)</f>
        <v>0</v>
      </c>
      <c r="O17" s="305">
        <f>IF(【実地研修中の宿泊】=1,コース不参加費用試算!$J$32*N17, 0)</f>
        <v>0</v>
      </c>
      <c r="P17" s="304">
        <f>IF(【実地研修中の宿泊】=1,P9,0)</f>
        <v>0</v>
      </c>
      <c r="Q17" s="305">
        <f>IF(【実地研修中の宿泊】=1,コース不参加費用試算!$J$32*P17, 0)</f>
        <v>0</v>
      </c>
      <c r="R17" s="304">
        <f>IF(【実地研修中の宿泊】=1,R9,0)</f>
        <v>0</v>
      </c>
      <c r="S17" s="305">
        <f>IF(【実地研修中の宿泊】=1,コース不参加費用試算!$J$32*R17, 0)</f>
        <v>0</v>
      </c>
      <c r="T17" s="304">
        <f>IF(【実地研修中の宿泊】=1,T9,0)</f>
        <v>0</v>
      </c>
      <c r="U17" s="305">
        <f>IF(【実地研修中の宿泊】=1,コース不参加費用試算!$J$32*T17, 0)</f>
        <v>0</v>
      </c>
      <c r="V17" s="304">
        <f>IF(【実地研修中の宿泊】=1,V9,0)</f>
        <v>0</v>
      </c>
      <c r="W17" s="305">
        <f>IF(【実地研修中の宿泊】=1,コース不参加費用試算!$J$32*V17, 0)</f>
        <v>0</v>
      </c>
      <c r="X17" s="304">
        <f>IF(【実地研修中の宿泊】=1,X9,0)</f>
        <v>0</v>
      </c>
      <c r="Y17" s="305">
        <f>IF(【実地研修中の宿泊】=1,コース不参加費用試算!$J$32*X17, 0)</f>
        <v>0</v>
      </c>
      <c r="Z17" s="304">
        <f>IF(【実地研修中の宿泊】=1,Z9,0)</f>
        <v>0</v>
      </c>
      <c r="AA17" s="305">
        <f>IF(【実地研修中の宿泊】=1,コース不参加費用試算!$J$32*Z17, 0)</f>
        <v>0</v>
      </c>
      <c r="AB17" s="304">
        <f>IF(【実地研修中の宿泊】=1,AB9,0)</f>
        <v>0</v>
      </c>
      <c r="AC17" s="305">
        <f>IF(【実地研修中の宿泊】=1,コース不参加費用試算!$J$32*AB17, 0)</f>
        <v>0</v>
      </c>
      <c r="AD17" s="304">
        <f>IF(【実地研修中の宿泊】=1,AD9,0)</f>
        <v>0</v>
      </c>
      <c r="AE17" s="306">
        <f>IF(【実地研修中の宿泊】=1,コース不参加費用試算!$J$32*AD17, 0)</f>
        <v>0</v>
      </c>
      <c r="AF17" s="307">
        <f ca="1">SUMIF($F$11:AE17,"金額",F17:AE17)</f>
        <v>0</v>
      </c>
    </row>
    <row r="18" spans="1:32" s="179" customFormat="1" ht="22.5" customHeight="1" thickBot="1">
      <c r="A18" s="849"/>
      <c r="B18" s="850" t="s">
        <v>100</v>
      </c>
      <c r="C18" s="851"/>
      <c r="D18" s="852"/>
      <c r="E18" s="308">
        <f>SUM(E13:E17)</f>
        <v>0</v>
      </c>
      <c r="F18" s="309"/>
      <c r="G18" s="310">
        <f>SUM(G13:G17)</f>
        <v>0</v>
      </c>
      <c r="H18" s="311"/>
      <c r="I18" s="310">
        <f>SUM(I13:I17)</f>
        <v>0</v>
      </c>
      <c r="J18" s="311"/>
      <c r="K18" s="310">
        <f>SUM(K13:K17)</f>
        <v>0</v>
      </c>
      <c r="L18" s="311"/>
      <c r="M18" s="310">
        <f>SUM(M13:M17)</f>
        <v>0</v>
      </c>
      <c r="N18" s="311"/>
      <c r="O18" s="310">
        <f>SUM(O13:O17)</f>
        <v>0</v>
      </c>
      <c r="P18" s="311"/>
      <c r="Q18" s="310">
        <f>SUM(Q13:Q17)</f>
        <v>0</v>
      </c>
      <c r="R18" s="311"/>
      <c r="S18" s="310">
        <f>SUM(S13:S17)</f>
        <v>0</v>
      </c>
      <c r="T18" s="311"/>
      <c r="U18" s="310">
        <f>SUM(U13:U17)</f>
        <v>0</v>
      </c>
      <c r="V18" s="311"/>
      <c r="W18" s="310">
        <f>SUM(W13:W17)</f>
        <v>0</v>
      </c>
      <c r="X18" s="311"/>
      <c r="Y18" s="310">
        <f>SUM(Y13:Y17)</f>
        <v>0</v>
      </c>
      <c r="Z18" s="311"/>
      <c r="AA18" s="310">
        <f>SUM(AA13:AA17)</f>
        <v>0</v>
      </c>
      <c r="AB18" s="311"/>
      <c r="AC18" s="310">
        <f>SUM(AC13:AC17)</f>
        <v>0</v>
      </c>
      <c r="AD18" s="312"/>
      <c r="AE18" s="313">
        <f>SUM(AE13:AE17)</f>
        <v>0</v>
      </c>
      <c r="AF18" s="314">
        <f ca="1">SUMIF($F$11:AE18,"金額",F18:AE18)</f>
        <v>0</v>
      </c>
    </row>
    <row r="19" spans="1:32" s="179" customFormat="1" ht="22.5" customHeight="1">
      <c r="A19" s="797" t="s">
        <v>125</v>
      </c>
      <c r="B19" s="315" t="s">
        <v>106</v>
      </c>
      <c r="C19" s="316"/>
      <c r="D19" s="317" t="s">
        <v>126</v>
      </c>
      <c r="E19" s="318">
        <f>コース不参加費用試算!$L$26</f>
        <v>100000</v>
      </c>
      <c r="F19" s="319"/>
      <c r="G19" s="320">
        <f>E19</f>
        <v>100000</v>
      </c>
      <c r="H19" s="321"/>
      <c r="I19" s="320"/>
      <c r="J19" s="321"/>
      <c r="K19" s="320"/>
      <c r="L19" s="321"/>
      <c r="M19" s="320"/>
      <c r="N19" s="321"/>
      <c r="O19" s="320"/>
      <c r="P19" s="321"/>
      <c r="Q19" s="320"/>
      <c r="R19" s="321"/>
      <c r="S19" s="320"/>
      <c r="T19" s="321"/>
      <c r="U19" s="320"/>
      <c r="V19" s="321"/>
      <c r="W19" s="320"/>
      <c r="X19" s="321"/>
      <c r="Y19" s="320"/>
      <c r="Z19" s="321"/>
      <c r="AA19" s="320"/>
      <c r="AB19" s="321"/>
      <c r="AC19" s="320"/>
      <c r="AD19" s="321"/>
      <c r="AE19" s="320"/>
      <c r="AF19" s="322">
        <f ca="1">SUMIF($F$11:AE19,"金額",F19:AE19)</f>
        <v>100000</v>
      </c>
    </row>
    <row r="20" spans="1:32" s="179" customFormat="1" ht="22.5" customHeight="1">
      <c r="A20" s="798"/>
      <c r="B20" s="800" t="s">
        <v>127</v>
      </c>
      <c r="C20" s="832" t="s">
        <v>124</v>
      </c>
      <c r="D20" s="298" t="s">
        <v>107</v>
      </c>
      <c r="E20" s="323">
        <f>IF(E17&gt;0,0,コース不参加費用試算!$L$32)</f>
        <v>188400</v>
      </c>
      <c r="F20" s="324">
        <f>IF(【実地研修中の宿泊】=1,0,F9)</f>
        <v>17</v>
      </c>
      <c r="G20" s="325">
        <f>IF(【実地研修中の宿泊】=1,0,IF(【実地研修中の宿泊】=2,コース不参加費用試算!$J$32*F20,コース不参加費用試算!$J$32*F20))</f>
        <v>26690</v>
      </c>
      <c r="H20" s="297">
        <f>IF(【実地研修中の宿泊】=1,0,H9)</f>
        <v>31</v>
      </c>
      <c r="I20" s="326">
        <f>IF(【実地研修中の宿泊】=1,0,IF(【実地研修中の宿泊】=2,コース不参加費用試算!$J$32*H20,コース不参加費用試算!$J$32*H20))</f>
        <v>48670</v>
      </c>
      <c r="J20" s="297">
        <f>IF(【実地研修中の宿泊】=1,0,J9)</f>
        <v>30</v>
      </c>
      <c r="K20" s="326">
        <f>IF(【実地研修中の宿泊】=1,0,IF(【実地研修中の宿泊】=2,コース不参加費用試算!$J$32*J20,コース不参加費用試算!$J$32*J20))</f>
        <v>47100</v>
      </c>
      <c r="L20" s="297">
        <f>IF(【実地研修中の宿泊】=1,0,L9)</f>
        <v>31</v>
      </c>
      <c r="M20" s="326">
        <f>IF(【実地研修中の宿泊】=1,0,IF(【実地研修中の宿泊】=2,コース不参加費用試算!$J$32*L20,コース不参加費用試算!$J$32*L20))</f>
        <v>48670</v>
      </c>
      <c r="N20" s="297">
        <f>IF(【実地研修中の宿泊】=1,0,N9)</f>
        <v>11</v>
      </c>
      <c r="O20" s="326">
        <f>IF(【実地研修中の宿泊】=1,0,IF(【実地研修中の宿泊】=2,コース不参加費用試算!$J$32*N20,コース不参加費用試算!$J$32*N20))</f>
        <v>17270</v>
      </c>
      <c r="P20" s="297">
        <f>IF(【実地研修中の宿泊】=1,0,P9)</f>
        <v>0</v>
      </c>
      <c r="Q20" s="326">
        <f>IF(【実地研修中の宿泊】=1,0,IF(【実地研修中の宿泊】=2,コース不参加費用試算!$J$32*P20,コース不参加費用試算!$J$32*P20))</f>
        <v>0</v>
      </c>
      <c r="R20" s="297">
        <f>IF(【実地研修中の宿泊】=1,0,R9)</f>
        <v>0</v>
      </c>
      <c r="S20" s="326">
        <f>IF(【実地研修中の宿泊】=1,0,IF(【実地研修中の宿泊】=2,コース不参加費用試算!$J$32*R20,コース不参加費用試算!$J$32*R20))</f>
        <v>0</v>
      </c>
      <c r="T20" s="297">
        <f>IF(【実地研修中の宿泊】=1,0,T9)</f>
        <v>0</v>
      </c>
      <c r="U20" s="326">
        <f>IF(【実地研修中の宿泊】=1,0,IF(【実地研修中の宿泊】=2,コース不参加費用試算!$J$32*T20,コース不参加費用試算!$J$32*T20))</f>
        <v>0</v>
      </c>
      <c r="V20" s="297">
        <f>IF(【実地研修中の宿泊】=1,0,V9)</f>
        <v>0</v>
      </c>
      <c r="W20" s="326">
        <f>IF(【実地研修中の宿泊】=1,0,IF(【実地研修中の宿泊】=2,コース不参加費用試算!$J$32*V20,コース不参加費用試算!$J$32*V20))</f>
        <v>0</v>
      </c>
      <c r="X20" s="297">
        <f>IF(【実地研修中の宿泊】=1,0,X9)</f>
        <v>0</v>
      </c>
      <c r="Y20" s="326">
        <f>IF(【実地研修中の宿泊】=1,0,IF(【実地研修中の宿泊】=2,コース不参加費用試算!$J$32*X20,コース不参加費用試算!$J$32*X20))</f>
        <v>0</v>
      </c>
      <c r="Z20" s="297">
        <f>IF(【実地研修中の宿泊】=1,0,Z9)</f>
        <v>0</v>
      </c>
      <c r="AA20" s="326">
        <f>IF(【実地研修中の宿泊】=1,0,IF(【実地研修中の宿泊】=2,コース不参加費用試算!$J$32*Z20,コース不参加費用試算!$J$32*Z20))</f>
        <v>0</v>
      </c>
      <c r="AB20" s="297">
        <f>IF(【実地研修中の宿泊】=1,0,AB9)</f>
        <v>0</v>
      </c>
      <c r="AC20" s="325">
        <f>IF(【実地研修中の宿泊】=1,0,IF(【実地研修中の宿泊】=2,コース不参加費用試算!$J$32*AB20,コース不参加費用試算!$J$32*AB20))</f>
        <v>0</v>
      </c>
      <c r="AD20" s="327">
        <f>IF(【実地研修中の宿泊】=1,0,AD9)</f>
        <v>0</v>
      </c>
      <c r="AE20" s="326">
        <f>IF(【実地研修中の宿泊】=1,0,IF(【実地研修中の宿泊】=2,コース不参加費用試算!$J$32*AD20,コース不参加費用試算!$J$32*AD20))</f>
        <v>0</v>
      </c>
      <c r="AF20" s="328">
        <f ca="1">SUMIF($F$11:AE20,"金額",F20:AE20)</f>
        <v>188400</v>
      </c>
    </row>
    <row r="21" spans="1:32" s="179" customFormat="1" ht="22.5" customHeight="1">
      <c r="A21" s="798"/>
      <c r="B21" s="801"/>
      <c r="C21" s="833"/>
      <c r="D21" s="646" t="s">
        <v>252</v>
      </c>
      <c r="E21" s="647">
        <f>コース不参加費用試算!$L$33</f>
        <v>1780</v>
      </c>
      <c r="F21" s="648">
        <v>1</v>
      </c>
      <c r="G21" s="630">
        <f>コース不参加費用試算!L33</f>
        <v>1780</v>
      </c>
      <c r="H21" s="631"/>
      <c r="I21" s="361"/>
      <c r="J21" s="631"/>
      <c r="K21" s="361"/>
      <c r="L21" s="631"/>
      <c r="M21" s="361"/>
      <c r="N21" s="631"/>
      <c r="O21" s="361"/>
      <c r="P21" s="631"/>
      <c r="Q21" s="361"/>
      <c r="R21" s="631"/>
      <c r="S21" s="361"/>
      <c r="T21" s="631"/>
      <c r="U21" s="361"/>
      <c r="V21" s="631"/>
      <c r="W21" s="361"/>
      <c r="X21" s="631"/>
      <c r="Y21" s="361"/>
      <c r="Z21" s="631"/>
      <c r="AA21" s="361"/>
      <c r="AB21" s="631"/>
      <c r="AC21" s="630"/>
      <c r="AD21" s="632"/>
      <c r="AE21" s="361"/>
      <c r="AF21" s="333">
        <f ca="1">SUMIF($F$11:AE21,"金額",F21:AE21)</f>
        <v>1780</v>
      </c>
    </row>
    <row r="22" spans="1:32" s="179" customFormat="1" ht="22.5" customHeight="1">
      <c r="A22" s="798"/>
      <c r="B22" s="801"/>
      <c r="C22" s="834"/>
      <c r="D22" s="649" t="s">
        <v>251</v>
      </c>
      <c r="E22" s="645">
        <f>コース不参加費用試算!$L$34</f>
        <v>311780</v>
      </c>
      <c r="F22" s="650">
        <f>F9-1</f>
        <v>16</v>
      </c>
      <c r="G22" s="329">
        <f>コース不参加費用試算!$J$34*F22</f>
        <v>41920</v>
      </c>
      <c r="H22" s="330">
        <f>H9</f>
        <v>31</v>
      </c>
      <c r="I22" s="331">
        <f>コース不参加費用試算!$J$34*H22</f>
        <v>81220</v>
      </c>
      <c r="J22" s="330">
        <f>J9</f>
        <v>30</v>
      </c>
      <c r="K22" s="331">
        <f>コース不参加費用試算!$J$34*J22</f>
        <v>78600</v>
      </c>
      <c r="L22" s="330">
        <f>L9</f>
        <v>31</v>
      </c>
      <c r="M22" s="331">
        <f>コース不参加費用試算!$J$34*L22</f>
        <v>81220</v>
      </c>
      <c r="N22" s="330">
        <f>N9</f>
        <v>11</v>
      </c>
      <c r="O22" s="331">
        <f>コース不参加費用試算!$J$34*N22</f>
        <v>28820</v>
      </c>
      <c r="P22" s="330">
        <f>P9</f>
        <v>0</v>
      </c>
      <c r="Q22" s="331">
        <f>コース不参加費用試算!$J$34*P22</f>
        <v>0</v>
      </c>
      <c r="R22" s="330">
        <f>R9</f>
        <v>0</v>
      </c>
      <c r="S22" s="331">
        <f>コース不参加費用試算!$J$34*R22</f>
        <v>0</v>
      </c>
      <c r="T22" s="330">
        <f>T9</f>
        <v>0</v>
      </c>
      <c r="U22" s="331">
        <f>コース不参加費用試算!$J$34*T22</f>
        <v>0</v>
      </c>
      <c r="V22" s="330">
        <f>V9</f>
        <v>0</v>
      </c>
      <c r="W22" s="331">
        <f>コース不参加費用試算!$J$34*V22</f>
        <v>0</v>
      </c>
      <c r="X22" s="330">
        <f>X9</f>
        <v>0</v>
      </c>
      <c r="Y22" s="331">
        <f>コース不参加費用試算!$J$34*X22</f>
        <v>0</v>
      </c>
      <c r="Z22" s="330">
        <f>Z9</f>
        <v>0</v>
      </c>
      <c r="AA22" s="331">
        <f>コース不参加費用試算!$J$34*Z22</f>
        <v>0</v>
      </c>
      <c r="AB22" s="330">
        <f>AB9</f>
        <v>0</v>
      </c>
      <c r="AC22" s="329">
        <f>コース不参加費用試算!$J$34*AB22</f>
        <v>0</v>
      </c>
      <c r="AD22" s="332">
        <f>AD9</f>
        <v>0</v>
      </c>
      <c r="AE22" s="331">
        <f>コース不参加費用試算!$J$34*AD22</f>
        <v>0</v>
      </c>
      <c r="AF22" s="333">
        <f ca="1">SUMIF($F$11:AE22,"金額",F22:AE22)</f>
        <v>311780</v>
      </c>
    </row>
    <row r="23" spans="1:32" s="179" customFormat="1" ht="22.5" customHeight="1">
      <c r="A23" s="798"/>
      <c r="B23" s="802"/>
      <c r="C23" s="334" t="s">
        <v>109</v>
      </c>
      <c r="D23" s="335"/>
      <c r="E23" s="336">
        <f>コース不参加費用試算!$L$35</f>
        <v>124800</v>
      </c>
      <c r="F23" s="337">
        <f>F10</f>
        <v>17</v>
      </c>
      <c r="G23" s="338">
        <f>コース不参加費用試算!$J$35*F23</f>
        <v>17680</v>
      </c>
      <c r="H23" s="339">
        <f>H10</f>
        <v>31</v>
      </c>
      <c r="I23" s="338">
        <f>コース不参加費用試算!$J$35*H23</f>
        <v>32240</v>
      </c>
      <c r="J23" s="339">
        <f>J10</f>
        <v>30</v>
      </c>
      <c r="K23" s="338">
        <f>コース不参加費用試算!$J$35*J23</f>
        <v>31200</v>
      </c>
      <c r="L23" s="339">
        <f>L10</f>
        <v>31</v>
      </c>
      <c r="M23" s="338">
        <f>コース不参加費用試算!$J$35*L23</f>
        <v>32240</v>
      </c>
      <c r="N23" s="339">
        <f>N10</f>
        <v>11</v>
      </c>
      <c r="O23" s="338">
        <f>コース不参加費用試算!$J$35*N23</f>
        <v>11440</v>
      </c>
      <c r="P23" s="339">
        <f>P10</f>
        <v>0</v>
      </c>
      <c r="Q23" s="338">
        <f>コース不参加費用試算!$J$35*P23</f>
        <v>0</v>
      </c>
      <c r="R23" s="339">
        <f>R10</f>
        <v>0</v>
      </c>
      <c r="S23" s="338">
        <f>コース不参加費用試算!$J$35*R23</f>
        <v>0</v>
      </c>
      <c r="T23" s="339">
        <f>T10</f>
        <v>0</v>
      </c>
      <c r="U23" s="338">
        <f>コース不参加費用試算!$J$35*T23</f>
        <v>0</v>
      </c>
      <c r="V23" s="339">
        <f>V10</f>
        <v>0</v>
      </c>
      <c r="W23" s="338">
        <f>コース不参加費用試算!$J$35*V23</f>
        <v>0</v>
      </c>
      <c r="X23" s="339">
        <f>X10</f>
        <v>0</v>
      </c>
      <c r="Y23" s="338">
        <f>コース不参加費用試算!$J$35*X23</f>
        <v>0</v>
      </c>
      <c r="Z23" s="339">
        <f>Z10</f>
        <v>0</v>
      </c>
      <c r="AA23" s="338">
        <f>コース不参加費用試算!$J$35*Z23</f>
        <v>0</v>
      </c>
      <c r="AB23" s="339">
        <f>AB10</f>
        <v>0</v>
      </c>
      <c r="AC23" s="338">
        <f>コース不参加費用試算!$J$35*AB23</f>
        <v>0</v>
      </c>
      <c r="AD23" s="339">
        <f>AD10</f>
        <v>0</v>
      </c>
      <c r="AE23" s="338">
        <f>コース不参加費用試算!$J$35*AD23</f>
        <v>0</v>
      </c>
      <c r="AF23" s="340">
        <f ca="1">SUMIF($F$11:AE23,"金額",F23:AE23)</f>
        <v>124800</v>
      </c>
    </row>
    <row r="24" spans="1:32" s="179" customFormat="1" ht="22.5" customHeight="1">
      <c r="A24" s="798"/>
      <c r="B24" s="341" t="str">
        <f>"実地研修費（@"&amp;TEXT(コース不参加費用試算!$J$36,"#,###")&amp;"×"&amp;計算シート!$C$13&amp;"日）"</f>
        <v>実地研修費（@5,190×120日）</v>
      </c>
      <c r="C24" s="342"/>
      <c r="D24" s="343"/>
      <c r="E24" s="336">
        <f>コース不参加費用試算!$L$36</f>
        <v>622800</v>
      </c>
      <c r="F24" s="337">
        <f>F9</f>
        <v>17</v>
      </c>
      <c r="G24" s="338">
        <f>コース不参加費用試算!$J$36*F24</f>
        <v>88230</v>
      </c>
      <c r="H24" s="339">
        <f>H9</f>
        <v>31</v>
      </c>
      <c r="I24" s="338">
        <f>コース不参加費用試算!$J$36*H24</f>
        <v>160890</v>
      </c>
      <c r="J24" s="339">
        <f>J9</f>
        <v>30</v>
      </c>
      <c r="K24" s="338">
        <f>コース不参加費用試算!$J$36*J24</f>
        <v>155700</v>
      </c>
      <c r="L24" s="339">
        <f>L9</f>
        <v>31</v>
      </c>
      <c r="M24" s="338">
        <f>コース不参加費用試算!$J$36*L24</f>
        <v>160890</v>
      </c>
      <c r="N24" s="339">
        <f>N9</f>
        <v>11</v>
      </c>
      <c r="O24" s="338">
        <f>コース不参加費用試算!$J$36*N24</f>
        <v>57090</v>
      </c>
      <c r="P24" s="339">
        <f>P9</f>
        <v>0</v>
      </c>
      <c r="Q24" s="338">
        <f>コース不参加費用試算!$J$36*P24</f>
        <v>0</v>
      </c>
      <c r="R24" s="339">
        <f>R9</f>
        <v>0</v>
      </c>
      <c r="S24" s="338">
        <f>コース不参加費用試算!$J$36*R24</f>
        <v>0</v>
      </c>
      <c r="T24" s="339">
        <f>T9</f>
        <v>0</v>
      </c>
      <c r="U24" s="338">
        <f>コース不参加費用試算!$J$36*T24</f>
        <v>0</v>
      </c>
      <c r="V24" s="339">
        <f>V9</f>
        <v>0</v>
      </c>
      <c r="W24" s="338">
        <f>コース不参加費用試算!$J$36*V24</f>
        <v>0</v>
      </c>
      <c r="X24" s="339">
        <f>X9</f>
        <v>0</v>
      </c>
      <c r="Y24" s="338">
        <f>コース不参加費用試算!$J$36*X24</f>
        <v>0</v>
      </c>
      <c r="Z24" s="339">
        <f>Z9</f>
        <v>0</v>
      </c>
      <c r="AA24" s="338">
        <f>コース不参加費用試算!$J$36*Z24</f>
        <v>0</v>
      </c>
      <c r="AB24" s="339">
        <f>AB9</f>
        <v>0</v>
      </c>
      <c r="AC24" s="338">
        <f>コース不参加費用試算!$J$36*AB24</f>
        <v>0</v>
      </c>
      <c r="AD24" s="339">
        <f>AD9</f>
        <v>0</v>
      </c>
      <c r="AE24" s="344">
        <f>コース不参加費用試算!$J$36*AD24</f>
        <v>0</v>
      </c>
      <c r="AF24" s="340">
        <f ca="1">SUMIF($F$11:AE24,"金額",F24:AE24)</f>
        <v>622800</v>
      </c>
    </row>
    <row r="25" spans="1:32" s="179" customFormat="1" ht="22.5" customHeight="1">
      <c r="A25" s="798"/>
      <c r="B25" s="835" t="s">
        <v>101</v>
      </c>
      <c r="C25" s="836"/>
      <c r="D25" s="837"/>
      <c r="E25" s="345">
        <f>SUM(E19:E24)</f>
        <v>1349560</v>
      </c>
      <c r="F25" s="346"/>
      <c r="G25" s="347">
        <f>SUM(G19:G24)</f>
        <v>276300</v>
      </c>
      <c r="H25" s="348"/>
      <c r="I25" s="347">
        <f t="shared" ref="I25" si="12">SUM(I19:I24)</f>
        <v>323020</v>
      </c>
      <c r="J25" s="348"/>
      <c r="K25" s="347">
        <f t="shared" ref="K25" si="13">SUM(K19:K24)</f>
        <v>312600</v>
      </c>
      <c r="L25" s="348"/>
      <c r="M25" s="347">
        <f t="shared" ref="M25" si="14">SUM(M19:M24)</f>
        <v>323020</v>
      </c>
      <c r="N25" s="348"/>
      <c r="O25" s="347">
        <f t="shared" ref="O25" si="15">SUM(O19:O24)</f>
        <v>114620</v>
      </c>
      <c r="P25" s="348"/>
      <c r="Q25" s="347">
        <f t="shared" ref="Q25" si="16">SUM(Q19:Q24)</f>
        <v>0</v>
      </c>
      <c r="R25" s="348"/>
      <c r="S25" s="347">
        <f t="shared" ref="S25" si="17">SUM(S19:S24)</f>
        <v>0</v>
      </c>
      <c r="T25" s="348"/>
      <c r="U25" s="347">
        <f t="shared" ref="U25" si="18">SUM(U19:U24)</f>
        <v>0</v>
      </c>
      <c r="V25" s="348"/>
      <c r="W25" s="347">
        <f t="shared" ref="W25" si="19">SUM(W19:W24)</f>
        <v>0</v>
      </c>
      <c r="X25" s="348"/>
      <c r="Y25" s="347">
        <f t="shared" ref="Y25" si="20">SUM(Y19:Y24)</f>
        <v>0</v>
      </c>
      <c r="Z25" s="348"/>
      <c r="AA25" s="347">
        <f t="shared" ref="AA25" si="21">SUM(AA19:AA24)</f>
        <v>0</v>
      </c>
      <c r="AB25" s="348"/>
      <c r="AC25" s="347">
        <f t="shared" ref="AC25" si="22">SUM(AC19:AC24)</f>
        <v>0</v>
      </c>
      <c r="AD25" s="349"/>
      <c r="AE25" s="350">
        <f t="shared" ref="AE25" si="23">SUM(AE19:AE24)</f>
        <v>0</v>
      </c>
      <c r="AF25" s="351">
        <f t="shared" ref="AF25:AF29" si="24">SUM(F25:AE25)</f>
        <v>1349560</v>
      </c>
    </row>
    <row r="26" spans="1:32" s="179" customFormat="1" ht="22.5" customHeight="1" thickBot="1">
      <c r="A26" s="799"/>
      <c r="B26" s="352" t="s">
        <v>128</v>
      </c>
      <c r="C26" s="353"/>
      <c r="D26" s="354"/>
      <c r="E26" s="355">
        <f>コース不参加費用試算!$L$37</f>
        <v>2340</v>
      </c>
      <c r="F26" s="356"/>
      <c r="G26" s="357">
        <f ca="1">SUMIF(【国内移動費】,F$6,計算シート!$K$5:$K$7)</f>
        <v>1340</v>
      </c>
      <c r="H26" s="356"/>
      <c r="I26" s="357">
        <f ca="1">SUMIF(【国内移動費】,H$6,計算シート!$K$5:$K$7)</f>
        <v>0</v>
      </c>
      <c r="J26" s="356"/>
      <c r="K26" s="357">
        <f ca="1">SUMIF(【国内移動費】,J$6,計算シート!$K$5:$K$7)</f>
        <v>0</v>
      </c>
      <c r="L26" s="356"/>
      <c r="M26" s="357">
        <f ca="1">SUMIF(【国内移動費】,L$6,計算シート!$K$5:$K$7)</f>
        <v>0</v>
      </c>
      <c r="N26" s="356"/>
      <c r="O26" s="357">
        <f ca="1">SUMIF(【国内移動費】,N$6,計算シート!$K$5:$K$7)</f>
        <v>1000</v>
      </c>
      <c r="P26" s="356"/>
      <c r="Q26" s="357">
        <f ca="1">SUMIF(【国内移動費】,P$6,計算シート!$K$5:$K$7)</f>
        <v>0</v>
      </c>
      <c r="R26" s="356"/>
      <c r="S26" s="357">
        <f ca="1">SUMIF(【国内移動費】,R$6,計算シート!$K$5:$K$7)</f>
        <v>0</v>
      </c>
      <c r="T26" s="356"/>
      <c r="U26" s="637">
        <f ca="1">SUMIF(【国内移動費】,T$6,計算シート!$K$5:$K$7)</f>
        <v>0</v>
      </c>
      <c r="V26" s="356"/>
      <c r="W26" s="357">
        <f ca="1">SUMIF(【国内移動費】,V$6,計算シート!$K$5:$K$7)</f>
        <v>0</v>
      </c>
      <c r="X26" s="356"/>
      <c r="Y26" s="357">
        <f ca="1">SUMIF(【国内移動費】,X$6,計算シート!$K$5:$K$7)</f>
        <v>0</v>
      </c>
      <c r="Z26" s="356"/>
      <c r="AA26" s="357">
        <f ca="1">SUMIF(【国内移動費】,Z$6,計算シート!$K$5:$K$7)</f>
        <v>0</v>
      </c>
      <c r="AB26" s="356"/>
      <c r="AC26" s="357">
        <f ca="1">SUMIF(【国内移動費】,AB$6,計算シート!$K$5:$K$7)</f>
        <v>0</v>
      </c>
      <c r="AD26" s="356"/>
      <c r="AE26" s="357">
        <f ca="1">SUMIF(【国内移動費】,AD$6,計算シート!$K$5:$K$7)</f>
        <v>0</v>
      </c>
      <c r="AF26" s="358">
        <f t="shared" ca="1" si="24"/>
        <v>2340</v>
      </c>
    </row>
    <row r="27" spans="1:32" s="179" customFormat="1" ht="22.5" customHeight="1">
      <c r="A27" s="818" t="s">
        <v>129</v>
      </c>
      <c r="B27" s="266" t="s">
        <v>282</v>
      </c>
      <c r="C27" s="266"/>
      <c r="D27" s="335" t="str">
        <f>"(①+②)×("&amp;TEXT(VLOOKUP(【研修申込区分】,【研修申込区分別費用】,4,FALSE),"# ?/?")&amp;" )"</f>
        <v>(①+②)×( 1/3 )</v>
      </c>
      <c r="E27" s="359">
        <f>コース不参加費用試算!$L$44</f>
        <v>416521</v>
      </c>
      <c r="F27" s="360"/>
      <c r="G27" s="361">
        <f>ROUNDUP((G25+G18)*コース不参加費用試算!$P$25,0)</f>
        <v>92100</v>
      </c>
      <c r="H27" s="360"/>
      <c r="I27" s="361">
        <f>ROUNDUP((I25+I18)*コース不参加費用試算!$P$25,0)</f>
        <v>107674</v>
      </c>
      <c r="J27" s="360"/>
      <c r="K27" s="361">
        <f>ROUNDUP((K25+K18)*コース不参加費用試算!$P$25,0)</f>
        <v>104200</v>
      </c>
      <c r="L27" s="360"/>
      <c r="M27" s="361">
        <f>ROUNDUP((M25+M18)*コース不参加費用試算!$P$25,0)</f>
        <v>107674</v>
      </c>
      <c r="N27" s="360"/>
      <c r="O27" s="361">
        <f>ROUNDUP((O25+O18)*コース不参加費用試算!$P$25,0)</f>
        <v>38207</v>
      </c>
      <c r="P27" s="360"/>
      <c r="Q27" s="361">
        <f>ROUNDUP((Q25+Q18)*コース不参加費用試算!$P$25,0)</f>
        <v>0</v>
      </c>
      <c r="R27" s="360"/>
      <c r="S27" s="361">
        <f>ROUNDUP((S25+S18)*コース不参加費用試算!$P$25,0)</f>
        <v>0</v>
      </c>
      <c r="T27" s="360"/>
      <c r="U27" s="361">
        <f>ROUNDUP((U25+U18)*コース不参加費用試算!$P$25,0)</f>
        <v>0</v>
      </c>
      <c r="V27" s="360"/>
      <c r="W27" s="361">
        <f>ROUNDUP((W25+W18)*コース不参加費用試算!$P$25,0)</f>
        <v>0</v>
      </c>
      <c r="X27" s="360"/>
      <c r="Y27" s="361">
        <f>ROUNDUP((Y25+Y18)*コース不参加費用試算!$P$25,0)</f>
        <v>0</v>
      </c>
      <c r="Z27" s="360"/>
      <c r="AA27" s="361">
        <f>ROUNDUP((AA25+AA18)*コース不参加費用試算!$P$25,0)</f>
        <v>0</v>
      </c>
      <c r="AB27" s="360"/>
      <c r="AC27" s="361">
        <f>ROUNDUP((AC25+AC18)*コース不参加費用試算!$P$25,0)</f>
        <v>0</v>
      </c>
      <c r="AD27" s="360"/>
      <c r="AE27" s="361">
        <f>ROUNDUP((AE25+AE18)*コース不参加費用試算!$P$25,0)</f>
        <v>0</v>
      </c>
      <c r="AF27" s="314">
        <f>SUM(F27:AE27)</f>
        <v>449855</v>
      </c>
    </row>
    <row r="28" spans="1:32" s="179" customFormat="1" ht="22.5" customHeight="1">
      <c r="A28" s="819"/>
      <c r="B28" s="362" t="s">
        <v>276</v>
      </c>
      <c r="C28" s="363"/>
      <c r="D28" s="364"/>
      <c r="E28" s="365">
        <f>コース不参加費用試算!$L$45</f>
        <v>122000</v>
      </c>
      <c r="F28" s="366"/>
      <c r="G28" s="367">
        <f>E28</f>
        <v>122000</v>
      </c>
      <c r="H28" s="368"/>
      <c r="I28" s="367"/>
      <c r="J28" s="368"/>
      <c r="K28" s="367"/>
      <c r="L28" s="368"/>
      <c r="M28" s="367"/>
      <c r="N28" s="368"/>
      <c r="O28" s="367"/>
      <c r="P28" s="368"/>
      <c r="Q28" s="367"/>
      <c r="R28" s="368"/>
      <c r="S28" s="367"/>
      <c r="T28" s="368"/>
      <c r="U28" s="367"/>
      <c r="V28" s="368"/>
      <c r="W28" s="367"/>
      <c r="X28" s="368"/>
      <c r="Y28" s="367"/>
      <c r="Z28" s="368"/>
      <c r="AA28" s="367"/>
      <c r="AB28" s="368"/>
      <c r="AC28" s="367"/>
      <c r="AD28" s="368"/>
      <c r="AE28" s="369"/>
      <c r="AF28" s="370">
        <f t="shared" si="24"/>
        <v>122000</v>
      </c>
    </row>
    <row r="29" spans="1:32" s="179" customFormat="1" ht="22.5" customHeight="1" thickBot="1">
      <c r="A29" s="820"/>
      <c r="B29" s="821" t="s">
        <v>102</v>
      </c>
      <c r="C29" s="822"/>
      <c r="D29" s="823"/>
      <c r="E29" s="371">
        <f>SUM(E27:E28)</f>
        <v>538521</v>
      </c>
      <c r="F29" s="372"/>
      <c r="G29" s="373">
        <f>SUM(G27:G28)</f>
        <v>214100</v>
      </c>
      <c r="H29" s="374"/>
      <c r="I29" s="373">
        <f t="shared" ref="I29" si="25">SUM(I27:I28)</f>
        <v>107674</v>
      </c>
      <c r="J29" s="374"/>
      <c r="K29" s="373">
        <f t="shared" ref="K29" si="26">SUM(K27:K28)</f>
        <v>104200</v>
      </c>
      <c r="L29" s="374"/>
      <c r="M29" s="373">
        <f t="shared" ref="M29" si="27">SUM(M27:M28)</f>
        <v>107674</v>
      </c>
      <c r="N29" s="374"/>
      <c r="O29" s="373">
        <f t="shared" ref="O29" si="28">SUM(O27:O28)</f>
        <v>38207</v>
      </c>
      <c r="P29" s="374"/>
      <c r="Q29" s="373">
        <f t="shared" ref="Q29" si="29">SUM(Q27:Q28)</f>
        <v>0</v>
      </c>
      <c r="R29" s="374"/>
      <c r="S29" s="373">
        <f t="shared" ref="S29" si="30">SUM(S27:S28)</f>
        <v>0</v>
      </c>
      <c r="T29" s="374"/>
      <c r="U29" s="373">
        <f t="shared" ref="U29" si="31">SUM(U27:U28)</f>
        <v>0</v>
      </c>
      <c r="V29" s="374"/>
      <c r="W29" s="373">
        <f t="shared" ref="W29" si="32">SUM(W27:W28)</f>
        <v>0</v>
      </c>
      <c r="X29" s="374"/>
      <c r="Y29" s="373">
        <f t="shared" ref="Y29" si="33">SUM(Y27:Y28)</f>
        <v>0</v>
      </c>
      <c r="Z29" s="374"/>
      <c r="AA29" s="373">
        <f t="shared" ref="AA29" si="34">SUM(AA27:AA28)</f>
        <v>0</v>
      </c>
      <c r="AB29" s="374"/>
      <c r="AC29" s="373">
        <f t="shared" ref="AC29" si="35">SUM(AC27:AC28)</f>
        <v>0</v>
      </c>
      <c r="AD29" s="374"/>
      <c r="AE29" s="375">
        <f t="shared" ref="AE29" si="36">SUM(AE27:AE28)</f>
        <v>0</v>
      </c>
      <c r="AF29" s="376">
        <f t="shared" si="24"/>
        <v>571855</v>
      </c>
    </row>
    <row r="30" spans="1:32" s="179" customFormat="1" ht="27" customHeight="1" thickTop="1" thickBot="1">
      <c r="A30" s="824" t="s">
        <v>130</v>
      </c>
      <c r="B30" s="825"/>
      <c r="C30" s="825"/>
      <c r="D30" s="826"/>
      <c r="E30" s="377">
        <f>E25+E26-E29</f>
        <v>813379</v>
      </c>
      <c r="F30" s="827">
        <f ca="1">(G25+G26)-G29</f>
        <v>63540</v>
      </c>
      <c r="G30" s="809"/>
      <c r="H30" s="809">
        <f t="shared" ref="H30" ca="1" si="37">(I25+I26)-I29</f>
        <v>215346</v>
      </c>
      <c r="I30" s="809"/>
      <c r="J30" s="809">
        <f t="shared" ref="J30" ca="1" si="38">(K25+K26)-K29</f>
        <v>208400</v>
      </c>
      <c r="K30" s="809"/>
      <c r="L30" s="809">
        <f t="shared" ref="L30" ca="1" si="39">(M25+M26)-M29</f>
        <v>215346</v>
      </c>
      <c r="M30" s="809"/>
      <c r="N30" s="809">
        <f t="shared" ref="N30" ca="1" si="40">(O25+O26)-O29</f>
        <v>77413</v>
      </c>
      <c r="O30" s="809"/>
      <c r="P30" s="809">
        <f t="shared" ref="P30" ca="1" si="41">(Q25+Q26)-Q29</f>
        <v>0</v>
      </c>
      <c r="Q30" s="809"/>
      <c r="R30" s="809">
        <f t="shared" ref="R30" ca="1" si="42">(S25+S26)-S29</f>
        <v>0</v>
      </c>
      <c r="S30" s="809"/>
      <c r="T30" s="809">
        <f t="shared" ref="T30" ca="1" si="43">(U25+U26)-U29</f>
        <v>0</v>
      </c>
      <c r="U30" s="809"/>
      <c r="V30" s="809">
        <f t="shared" ref="V30" ca="1" si="44">(W25+W26)-W29</f>
        <v>0</v>
      </c>
      <c r="W30" s="809"/>
      <c r="X30" s="809">
        <f t="shared" ref="X30" ca="1" si="45">(Y25+Y26)-Y29</f>
        <v>0</v>
      </c>
      <c r="Y30" s="809"/>
      <c r="Z30" s="809">
        <f t="shared" ref="Z30" ca="1" si="46">(AA25+AA26)-AA29</f>
        <v>0</v>
      </c>
      <c r="AA30" s="809"/>
      <c r="AB30" s="809">
        <f t="shared" ref="AB30" ca="1" si="47">(AC25+AC26)-AC29</f>
        <v>0</v>
      </c>
      <c r="AC30" s="809"/>
      <c r="AD30" s="809">
        <f t="shared" ref="AD30" ca="1" si="48">(AE25+AE26)-AE29</f>
        <v>0</v>
      </c>
      <c r="AE30" s="810"/>
      <c r="AF30" s="358">
        <f ca="1">SUM(F30:AE30)</f>
        <v>780045</v>
      </c>
    </row>
    <row r="31" spans="1:32" s="179" customFormat="1" ht="32.25" customHeight="1" thickTop="1" thickBot="1">
      <c r="A31" s="811" t="s">
        <v>131</v>
      </c>
      <c r="B31" s="812"/>
      <c r="C31" s="812"/>
      <c r="D31" s="813"/>
      <c r="E31" s="378"/>
      <c r="F31" s="814">
        <f ca="1">IF(F30=0,"",F30)</f>
        <v>63540</v>
      </c>
      <c r="G31" s="815"/>
      <c r="H31" s="816">
        <f ca="1">IF(H30=0,"",H30+F31)</f>
        <v>278886</v>
      </c>
      <c r="I31" s="815"/>
      <c r="J31" s="816">
        <f t="shared" ref="J31" ca="1" si="49">IF(J30=0,"",J30+H31)</f>
        <v>487286</v>
      </c>
      <c r="K31" s="815"/>
      <c r="L31" s="816">
        <f t="shared" ref="L31" ca="1" si="50">IF(L30=0,"",L30+J31)</f>
        <v>702632</v>
      </c>
      <c r="M31" s="815"/>
      <c r="N31" s="816">
        <f t="shared" ref="N31" ca="1" si="51">IF(N30=0,"",N30+L31)</f>
        <v>780045</v>
      </c>
      <c r="O31" s="815"/>
      <c r="P31" s="816" t="str">
        <f t="shared" ref="P31" ca="1" si="52">IF(P30=0,"",P30+N31)</f>
        <v/>
      </c>
      <c r="Q31" s="815"/>
      <c r="R31" s="816" t="str">
        <f t="shared" ref="R31" ca="1" si="53">IF(R30=0,"",R30+P31)</f>
        <v/>
      </c>
      <c r="S31" s="815"/>
      <c r="T31" s="816" t="str">
        <f t="shared" ref="T31" ca="1" si="54">IF(T30=0,"",T30+R31)</f>
        <v/>
      </c>
      <c r="U31" s="815"/>
      <c r="V31" s="816" t="str">
        <f t="shared" ref="V31" ca="1" si="55">IF(V30=0,"",V30+T31)</f>
        <v/>
      </c>
      <c r="W31" s="815"/>
      <c r="X31" s="816" t="str">
        <f t="shared" ref="X31" ca="1" si="56">IF(X30=0,"",X30+V31)</f>
        <v/>
      </c>
      <c r="Y31" s="815"/>
      <c r="Z31" s="816" t="str">
        <f t="shared" ref="Z31" ca="1" si="57">IF(Z30=0,"",Z30+X31)</f>
        <v/>
      </c>
      <c r="AA31" s="815"/>
      <c r="AB31" s="816" t="str">
        <f t="shared" ref="AB31" ca="1" si="58">IF(AB30=0,"",AB30+Z31)</f>
        <v/>
      </c>
      <c r="AC31" s="815"/>
      <c r="AD31" s="816" t="str">
        <f t="shared" ref="AD31" ca="1" si="59">IF(AD30=0,"",AD30+AB31)</f>
        <v/>
      </c>
      <c r="AE31" s="817"/>
      <c r="AF31" s="1"/>
    </row>
    <row r="32" spans="1:32" s="179" customFormat="1" ht="20.100000000000001" customHeight="1" thickTop="1">
      <c r="A32" s="266" t="s">
        <v>275</v>
      </c>
      <c r="B32" s="267"/>
      <c r="C32" s="267"/>
      <c r="D32" s="267"/>
      <c r="E32" s="379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803"/>
      <c r="AE32" s="803"/>
      <c r="AF32" s="1"/>
    </row>
    <row r="33" spans="1:33" s="179" customFormat="1" ht="13.5" customHeight="1">
      <c r="A33" s="194"/>
      <c r="B33" s="194"/>
      <c r="C33" s="194"/>
      <c r="D33" s="194"/>
      <c r="E33" s="381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255"/>
      <c r="AE33" s="255"/>
      <c r="AF33" s="255"/>
      <c r="AG33" s="255"/>
    </row>
    <row r="34" spans="1:33" s="179" customFormat="1" ht="13.5" customHeight="1">
      <c r="A34" s="255"/>
      <c r="B34" s="255"/>
      <c r="C34" s="255"/>
      <c r="D34" s="255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255"/>
      <c r="AE34" s="255"/>
      <c r="AF34" s="255"/>
      <c r="AG34" s="255"/>
    </row>
    <row r="35" spans="1:33" s="179" customFormat="1" ht="13.5" customHeight="1">
      <c r="A35" s="255"/>
      <c r="B35" s="255"/>
      <c r="C35" s="255"/>
      <c r="D35" s="255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255"/>
      <c r="AE35" s="255"/>
      <c r="AF35" s="255"/>
      <c r="AG35" s="255"/>
    </row>
    <row r="36" spans="1:33" s="179" customFormat="1" ht="13.5" customHeight="1">
      <c r="A36" s="255"/>
      <c r="B36" s="255"/>
      <c r="C36" s="255"/>
      <c r="D36" s="255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255"/>
      <c r="AE36" s="255"/>
      <c r="AF36" s="255"/>
      <c r="AG36" s="255"/>
    </row>
    <row r="37" spans="1:33" s="179" customFormat="1" ht="13.5" customHeight="1">
      <c r="A37" s="255"/>
      <c r="B37" s="255"/>
      <c r="C37" s="255"/>
      <c r="D37" s="255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255"/>
      <c r="AE37" s="255"/>
      <c r="AF37" s="255"/>
      <c r="AG37" s="255"/>
    </row>
    <row r="38" spans="1:33" s="179" customFormat="1" ht="20.100000000000001" customHeight="1" thickBot="1">
      <c r="B38" s="177" t="s">
        <v>103</v>
      </c>
      <c r="C38" s="1"/>
      <c r="D38" s="1"/>
      <c r="E38" s="383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4"/>
      <c r="AE38" s="385"/>
      <c r="AF38" s="1"/>
    </row>
    <row r="39" spans="1:33" s="179" customFormat="1" ht="20.25" customHeight="1">
      <c r="B39" s="386"/>
      <c r="C39" s="387"/>
      <c r="D39" s="388"/>
      <c r="E39" s="389"/>
      <c r="F39" s="804" t="s">
        <v>118</v>
      </c>
      <c r="G39" s="805"/>
      <c r="H39" s="390" t="s">
        <v>124</v>
      </c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2"/>
      <c r="AE39" s="393"/>
      <c r="AF39" s="389"/>
    </row>
    <row r="40" spans="1:33" s="179" customFormat="1" ht="20.25" customHeight="1" thickBot="1">
      <c r="B40" s="394"/>
      <c r="C40" s="266"/>
      <c r="D40" s="395"/>
      <c r="E40" s="396" t="s">
        <v>110</v>
      </c>
      <c r="F40" s="397"/>
      <c r="G40" s="398">
        <f>計算シート!$C$10</f>
        <v>0</v>
      </c>
      <c r="H40" s="399" t="str">
        <f>IF($G$40=計算シート!$C$14,"",YEAR($I$40)&amp;"/"&amp;MONTH($I$40))</f>
        <v>2020/4</v>
      </c>
      <c r="I40" s="400">
        <f>IF(計算シート!$C$12=0,"",計算シート!$C$12)</f>
        <v>43935</v>
      </c>
      <c r="J40" s="806" t="str">
        <f>IF(OR(計算シート!$C$13=H44,計算シート!$C$12=0),"",IF(MONTH($I$40)=12,YEAR($I$40)+1&amp;"/"&amp;"1",YEAR($I$40)&amp;"/"&amp;MONTH($I$40)+1))</f>
        <v>2020/5</v>
      </c>
      <c r="K40" s="807"/>
      <c r="L40" s="806" t="str">
        <f ca="1">IF(OR(計算シート!$C$13=SUMIF($H$41:K$44,"日数/回",$H$44:K$44),計算シート!$C$12=0),"",IF(MID(J40,6,2)="12",LEFT(J40,4)+1&amp;"/"&amp;"1",LEFT(J40,4)&amp;"/"&amp;MID(J40,6,2)+1))</f>
        <v>2020/6</v>
      </c>
      <c r="M40" s="807"/>
      <c r="N40" s="806" t="str">
        <f ca="1">IF(OR(計算シート!$C$13=SUMIF($H$41:M$44,"日数/回",$H$44:M$44),計算シート!$C$12=0),"",IF(MID(L40,6,2)="12",LEFT(L40,4)+1&amp;"/"&amp;"1",LEFT(L40,4)&amp;"/"&amp;MID(L40,6,2)+1))</f>
        <v>2020/7</v>
      </c>
      <c r="O40" s="807"/>
      <c r="P40" s="806" t="str">
        <f ca="1">IF(OR(計算シート!$C$13=SUMIF($H$41:O$44,"日数/回",$H$44:O$44),計算シート!$C$12=0),"",IF(MID(N40,6,2)="12",LEFT(N40,4)+1&amp;"/"&amp;"1",LEFT(N40,4)&amp;"/"&amp;MID(N40,6,2)+1))</f>
        <v>2020/8</v>
      </c>
      <c r="Q40" s="807"/>
      <c r="R40" s="806" t="str">
        <f ca="1">IF(OR(計算シート!$C$13=SUMIF($H$41:Q$44,"日数/回",$H$44:Q$44),計算シート!$C$12=0),"",IF(MID(P40,6,2)="12",LEFT(P40,4)+1&amp;"/"&amp;"1",LEFT(P40,4)&amp;"/"&amp;MID(P40,6,2)+1))</f>
        <v>2020/9</v>
      </c>
      <c r="S40" s="807"/>
      <c r="T40" s="806" t="str">
        <f ca="1">IF(OR(計算シート!$C$13=SUMIF($H$41:S$44,"日数/回",$H$44:S$44),計算シート!$C$12=0),"",IF(MID(R40,6,2)="12",LEFT(R40,4)+1&amp;"/"&amp;"1",LEFT(R40,4)&amp;"/"&amp;MID(R40,6,2)+1))</f>
        <v>2020/10</v>
      </c>
      <c r="U40" s="807"/>
      <c r="V40" s="806" t="str">
        <f ca="1">IF(OR(計算シート!$C$13=SUMIF($H$41:U$44,"日数/回",$H$44:U$44),計算シート!$C$12=0),"",IF(MID(T40,6,2)="12",LEFT(T40,4)+1&amp;"/"&amp;"1",LEFT(T40,4)&amp;"/"&amp;MID(T40,6,2)+1))</f>
        <v>2020/11</v>
      </c>
      <c r="W40" s="807"/>
      <c r="X40" s="806" t="str">
        <f ca="1">IF(OR(計算シート!$C$13=SUMIF($H$41:W$44,"日数/回",$H$44:W$44),計算シート!$C$12=0),"",IF(MID(V40,6,2)="12",LEFT(V40,4)+1&amp;"/"&amp;"1",LEFT(V40,4)&amp;"/"&amp;MID(V40,6,2)+1))</f>
        <v>2020/12</v>
      </c>
      <c r="Y40" s="807"/>
      <c r="Z40" s="806" t="str">
        <f ca="1">IF(OR(計算シート!$C$13=SUMIF($H$41:Y$44,"日数/回",$H$44:Y$44),計算シート!$C$12=0),"",IF(MID(X40,6,2)="12",LEFT(X40,4)+1&amp;"/"&amp;"1",LEFT(X40,4)&amp;"/"&amp;MID(X40,6,2)+1))</f>
        <v>2021/1</v>
      </c>
      <c r="AA40" s="807"/>
      <c r="AB40" s="806" t="str">
        <f ca="1">IF(OR(計算シート!$C$13=SUMIF($H$41:AA$44,"日数/回",$H$44:AA$44),計算シート!$C$12=0),"",IF(MID(Z40,6,2)="12",LEFT(Z40,4)+1&amp;"/"&amp;"1",LEFT(Z40,4)&amp;"/"&amp;MID(Z40,6,2)+1))</f>
        <v>2021/2</v>
      </c>
      <c r="AC40" s="807"/>
      <c r="AD40" s="806" t="str">
        <f ca="1">IF(OR(計算シート!$C$13=SUMIF($H$41:AC$44,"日数/回",$H$44:AC$44),計算シート!$C$12=0),"",IF(MID(AB40,6,2)="12",LEFT(AB40,4)+1&amp;"/"&amp;"1",LEFT(AB40,4)&amp;"/"&amp;MID(AB40,6,2)+1))</f>
        <v>2021/3</v>
      </c>
      <c r="AE40" s="808"/>
      <c r="AF40" s="396" t="s">
        <v>117</v>
      </c>
    </row>
    <row r="41" spans="1:33" s="179" customFormat="1" ht="20.25" customHeight="1" thickBot="1">
      <c r="B41" s="401"/>
      <c r="C41" s="353"/>
      <c r="D41" s="402"/>
      <c r="E41" s="403"/>
      <c r="F41" s="404" t="s">
        <v>104</v>
      </c>
      <c r="G41" s="292" t="s">
        <v>116</v>
      </c>
      <c r="H41" s="293" t="s">
        <v>104</v>
      </c>
      <c r="I41" s="292" t="s">
        <v>116</v>
      </c>
      <c r="J41" s="293" t="s">
        <v>104</v>
      </c>
      <c r="K41" s="292" t="s">
        <v>116</v>
      </c>
      <c r="L41" s="293" t="s">
        <v>104</v>
      </c>
      <c r="M41" s="292" t="s">
        <v>116</v>
      </c>
      <c r="N41" s="293" t="s">
        <v>104</v>
      </c>
      <c r="O41" s="292" t="s">
        <v>116</v>
      </c>
      <c r="P41" s="294" t="s">
        <v>104</v>
      </c>
      <c r="Q41" s="292" t="s">
        <v>116</v>
      </c>
      <c r="R41" s="294" t="s">
        <v>104</v>
      </c>
      <c r="S41" s="292" t="s">
        <v>116</v>
      </c>
      <c r="T41" s="294" t="s">
        <v>104</v>
      </c>
      <c r="U41" s="292" t="s">
        <v>116</v>
      </c>
      <c r="V41" s="294" t="s">
        <v>104</v>
      </c>
      <c r="W41" s="292" t="s">
        <v>116</v>
      </c>
      <c r="X41" s="294" t="s">
        <v>104</v>
      </c>
      <c r="Y41" s="292" t="s">
        <v>116</v>
      </c>
      <c r="Z41" s="294" t="s">
        <v>104</v>
      </c>
      <c r="AA41" s="292" t="s">
        <v>116</v>
      </c>
      <c r="AB41" s="294" t="s">
        <v>104</v>
      </c>
      <c r="AC41" s="292" t="s">
        <v>116</v>
      </c>
      <c r="AD41" s="294" t="s">
        <v>104</v>
      </c>
      <c r="AE41" s="405" t="s">
        <v>116</v>
      </c>
      <c r="AF41" s="403"/>
    </row>
    <row r="42" spans="1:33" s="179" customFormat="1" ht="21.75" customHeight="1">
      <c r="B42" s="406" t="s">
        <v>261</v>
      </c>
      <c r="C42" s="363"/>
      <c r="D42" s="407"/>
      <c r="E42" s="408">
        <f>コース不参加費用試算!$F$16</f>
        <v>100000</v>
      </c>
      <c r="F42" s="409"/>
      <c r="G42" s="410">
        <f>コース不参加費用試算!$L$26</f>
        <v>100000</v>
      </c>
      <c r="H42" s="411"/>
      <c r="I42" s="410"/>
      <c r="J42" s="411"/>
      <c r="K42" s="410"/>
      <c r="L42" s="411"/>
      <c r="M42" s="410"/>
      <c r="N42" s="411"/>
      <c r="O42" s="410"/>
      <c r="P42" s="411"/>
      <c r="Q42" s="410"/>
      <c r="R42" s="411"/>
      <c r="S42" s="410"/>
      <c r="T42" s="411"/>
      <c r="U42" s="410"/>
      <c r="V42" s="411"/>
      <c r="W42" s="410"/>
      <c r="X42" s="411"/>
      <c r="Y42" s="410"/>
      <c r="Z42" s="411"/>
      <c r="AA42" s="410"/>
      <c r="AB42" s="411"/>
      <c r="AC42" s="410"/>
      <c r="AD42" s="411"/>
      <c r="AE42" s="412"/>
      <c r="AF42" s="408">
        <f>$E$42</f>
        <v>100000</v>
      </c>
    </row>
    <row r="43" spans="1:33" s="179" customFormat="1" ht="21.75" customHeight="1" thickBot="1">
      <c r="B43" s="841" t="s">
        <v>132</v>
      </c>
      <c r="C43" s="842"/>
      <c r="D43" s="843"/>
      <c r="E43" s="413">
        <f>IF(【実地研修中の宿泊】=3,コース不参加費用試算!$L$32,0)</f>
        <v>0</v>
      </c>
      <c r="F43" s="414"/>
      <c r="G43" s="415">
        <v>0</v>
      </c>
      <c r="H43" s="416">
        <f>IF(H$40="",0,IF(【実地研修中の宿泊】=3,IF(計算シート!$C$12=0,0,VLOOKUP(H$40,【研修日数】,10,FALSE)),0))</f>
        <v>0</v>
      </c>
      <c r="I43" s="415">
        <f>コース不参加費用試算!$J$32*H43</f>
        <v>0</v>
      </c>
      <c r="J43" s="416">
        <f>IF(J$40="",0,IF(【実地研修中の宿泊】=3,IF(計算シート!$C$12=0,0,VLOOKUP(J$40,【研修日数】,10,FALSE)),0))</f>
        <v>0</v>
      </c>
      <c r="K43" s="415">
        <f>コース不参加費用試算!$J$32*J43</f>
        <v>0</v>
      </c>
      <c r="L43" s="416">
        <f ca="1">IF(L$40="",0,IF(【実地研修中の宿泊】=3,IF(計算シート!$C$12=0,0,VLOOKUP(L$40,【研修日数】,10,FALSE)),0))</f>
        <v>0</v>
      </c>
      <c r="M43" s="415">
        <f ca="1">コース不参加費用試算!$J$32*L43</f>
        <v>0</v>
      </c>
      <c r="N43" s="416">
        <f ca="1">IF(N$40="",0,IF(【実地研修中の宿泊】=3,IF(計算シート!$C$12=0,0,VLOOKUP(N$40,【研修日数】,10,FALSE)),0))</f>
        <v>0</v>
      </c>
      <c r="O43" s="415">
        <f ca="1">コース不参加費用試算!$J$32*N43</f>
        <v>0</v>
      </c>
      <c r="P43" s="416">
        <f ca="1">IF(P$40="",0,IF(【実地研修中の宿泊】=3,IF(計算シート!$C$12=0,0,VLOOKUP(P$40,【研修日数】,10,FALSE)),0))</f>
        <v>0</v>
      </c>
      <c r="Q43" s="417">
        <f ca="1">コース不参加費用試算!$J$32*P43</f>
        <v>0</v>
      </c>
      <c r="R43" s="416">
        <f ca="1">IF(R$40="",0,IF(【実地研修中の宿泊】=3,IF(計算シート!$C$12=0,0,VLOOKUP(R$40,【研修日数】,10,FALSE)),0))</f>
        <v>0</v>
      </c>
      <c r="S43" s="417">
        <f ca="1">コース不参加費用試算!$J$32*R43</f>
        <v>0</v>
      </c>
      <c r="T43" s="416">
        <f ca="1">IF(T$40="",0,IF(【実地研修中の宿泊】=3,IF(計算シート!$C$12=0,0,VLOOKUP(T$40,【研修日数】,10,FALSE)),0))</f>
        <v>0</v>
      </c>
      <c r="U43" s="417">
        <f ca="1">コース不参加費用試算!$J$32*T43</f>
        <v>0</v>
      </c>
      <c r="V43" s="416">
        <f ca="1">IF(V$40="",0,IF(【実地研修中の宿泊】=3,IF(計算シート!$C$12=0,0,VLOOKUP(V$40,【研修日数】,10,FALSE)),0))</f>
        <v>0</v>
      </c>
      <c r="W43" s="417">
        <f ca="1">コース不参加費用試算!$J$32*V43</f>
        <v>0</v>
      </c>
      <c r="X43" s="416">
        <f ca="1">IF(X$40="",0,IF(【実地研修中の宿泊】=3,IF(計算シート!$C$12=0,0,VLOOKUP(X$40,【研修日数】,10,FALSE)),0))</f>
        <v>0</v>
      </c>
      <c r="Y43" s="417">
        <f ca="1">コース不参加費用試算!$J$32*X43</f>
        <v>0</v>
      </c>
      <c r="Z43" s="416">
        <f ca="1">IF(Z$40="",0,IF(【実地研修中の宿泊】=3,IF(計算シート!$C$12=0,0,VLOOKUP(Z$40,【研修日数】,10,FALSE)),0))</f>
        <v>0</v>
      </c>
      <c r="AA43" s="417">
        <f ca="1">コース不参加費用試算!$J$32*Z43</f>
        <v>0</v>
      </c>
      <c r="AB43" s="416">
        <f ca="1">IF(AB$40="",0,IF(【実地研修中の宿泊】=3,IF(計算シート!$C$12=0,0,VLOOKUP(AB$40,【研修日数】,10,FALSE)),0))</f>
        <v>0</v>
      </c>
      <c r="AC43" s="417">
        <f ca="1">コース不参加費用試算!$J$32*AB43</f>
        <v>0</v>
      </c>
      <c r="AD43" s="416">
        <f ca="1">IF(AD$40="",0,IF(【実地研修中の宿泊】=3,IF(計算シート!$C$12=0,0,VLOOKUP(AD$40,【研修日数】,10,FALSE)),0))</f>
        <v>0</v>
      </c>
      <c r="AE43" s="418">
        <f ca="1">コース不参加費用試算!$J$32*AD43</f>
        <v>0</v>
      </c>
      <c r="AF43" s="413">
        <f ca="1">SUMIF($F$41:$AE43,"金額",$F43:$AE43)</f>
        <v>0</v>
      </c>
    </row>
    <row r="44" spans="1:33" s="179" customFormat="1" ht="21.75" customHeight="1" thickTop="1">
      <c r="B44" s="419" t="str">
        <f>"実地研修中食費（@"&amp;TEXT(コース不参加費用試算!$J$33,"#,###")&amp;"×"&amp;コース不参加費用試算!$K$33&amp;"日）"</f>
        <v>実地研修中食費（@1,780×1日）</v>
      </c>
      <c r="C44" s="296"/>
      <c r="D44" s="420"/>
      <c r="E44" s="421">
        <f>コース不参加費用試算!$L$33</f>
        <v>1780</v>
      </c>
      <c r="F44" s="422"/>
      <c r="G44" s="423">
        <v>0</v>
      </c>
      <c r="H44" s="424">
        <v>1</v>
      </c>
      <c r="I44" s="423">
        <f>コース不参加費用試算!$J$33*H44</f>
        <v>1780</v>
      </c>
      <c r="J44" s="424"/>
      <c r="K44" s="423"/>
      <c r="L44" s="424"/>
      <c r="M44" s="423"/>
      <c r="N44" s="424"/>
      <c r="O44" s="423"/>
      <c r="P44" s="424"/>
      <c r="Q44" s="425"/>
      <c r="R44" s="424"/>
      <c r="S44" s="425"/>
      <c r="T44" s="424"/>
      <c r="U44" s="425"/>
      <c r="V44" s="424"/>
      <c r="W44" s="425"/>
      <c r="X44" s="424"/>
      <c r="Y44" s="425"/>
      <c r="Z44" s="424"/>
      <c r="AA44" s="425"/>
      <c r="AB44" s="424"/>
      <c r="AC44" s="425"/>
      <c r="AD44" s="424"/>
      <c r="AE44" s="426"/>
      <c r="AF44" s="421">
        <f ca="1">SUMIF($F$41:$AE44,"金額",$F44:$AE44)</f>
        <v>1780</v>
      </c>
    </row>
    <row r="45" spans="1:33" s="179" customFormat="1" ht="21.75" customHeight="1">
      <c r="B45" s="419" t="str">
        <f>"実地研修中食費（@"&amp;TEXT(コース不参加費用試算!$J$34,"#,###")&amp;"×"&amp;コース不参加費用試算!$K$34&amp;"日）"</f>
        <v>実地研修中食費（@2,620×119日）</v>
      </c>
      <c r="C45" s="296"/>
      <c r="D45" s="420"/>
      <c r="E45" s="421">
        <f>コース不参加費用試算!$L$34</f>
        <v>311780</v>
      </c>
      <c r="F45" s="422"/>
      <c r="G45" s="423">
        <v>0</v>
      </c>
      <c r="H45" s="424">
        <f>IF(H$40="",0,VLOOKUP(H$40,【研修日数】,10,FALSE))-1</f>
        <v>16</v>
      </c>
      <c r="I45" s="423">
        <f>コース不参加費用試算!$J$34*H45</f>
        <v>41920</v>
      </c>
      <c r="J45" s="424">
        <f>IF(J$40="",0,VLOOKUP(J$40,【研修日数】,10,FALSE))</f>
        <v>31</v>
      </c>
      <c r="K45" s="423">
        <f>コース不参加費用試算!$J$34*J45</f>
        <v>81220</v>
      </c>
      <c r="L45" s="424">
        <f ca="1">IF(L$40="",0,VLOOKUP(L$40,【研修日数】,10,FALSE))</f>
        <v>30</v>
      </c>
      <c r="M45" s="423">
        <f ca="1">コース不参加費用試算!$J$34*L45</f>
        <v>78600</v>
      </c>
      <c r="N45" s="424">
        <f ca="1">IF(N$40="",0,VLOOKUP(N$40,【研修日数】,10,FALSE))</f>
        <v>31</v>
      </c>
      <c r="O45" s="423">
        <f ca="1">コース不参加費用試算!$J$34*N45</f>
        <v>81220</v>
      </c>
      <c r="P45" s="424">
        <f ca="1">IF(P$40="",0,VLOOKUP(P$40,【研修日数】,10,FALSE))</f>
        <v>11</v>
      </c>
      <c r="Q45" s="425">
        <f ca="1">コース不参加費用試算!$J$34*P45</f>
        <v>28820</v>
      </c>
      <c r="R45" s="424">
        <f ca="1">IF(R$40="",0,VLOOKUP(R$40,【研修日数】,10,FALSE))</f>
        <v>0</v>
      </c>
      <c r="S45" s="425">
        <f ca="1">コース不参加費用試算!$J$34*R45</f>
        <v>0</v>
      </c>
      <c r="T45" s="424">
        <f ca="1">IF(T$40="",0,VLOOKUP(T$40,【研修日数】,10,FALSE))</f>
        <v>0</v>
      </c>
      <c r="U45" s="425">
        <f ca="1">コース不参加費用試算!$J$34*T45</f>
        <v>0</v>
      </c>
      <c r="V45" s="424">
        <f ca="1">IF(V$40="",0,VLOOKUP(V$40,【研修日数】,10,FALSE))</f>
        <v>0</v>
      </c>
      <c r="W45" s="425">
        <f ca="1">コース不参加費用試算!$J$34*V45</f>
        <v>0</v>
      </c>
      <c r="X45" s="424">
        <f ca="1">IF(X$40="",0,VLOOKUP(X$40,【研修日数】,10,FALSE))</f>
        <v>0</v>
      </c>
      <c r="Y45" s="425">
        <f ca="1">コース不参加費用試算!$J$34*X45</f>
        <v>0</v>
      </c>
      <c r="Z45" s="424">
        <f ca="1">IF(Z$40="",0,VLOOKUP(Z$40,【研修日数】,10,FALSE))</f>
        <v>0</v>
      </c>
      <c r="AA45" s="425">
        <f ca="1">コース不参加費用試算!$J$34*Z45</f>
        <v>0</v>
      </c>
      <c r="AB45" s="424">
        <f ca="1">IF(AB$40="",0,VLOOKUP(AB$40,【研修日数】,10,FALSE))</f>
        <v>0</v>
      </c>
      <c r="AC45" s="425">
        <f ca="1">コース不参加費用試算!$J$34*AB45</f>
        <v>0</v>
      </c>
      <c r="AD45" s="424">
        <f ca="1">IF(AD$40="",0,VLOOKUP(AD$40,【研修日数】,10,FALSE))</f>
        <v>0</v>
      </c>
      <c r="AE45" s="426">
        <f ca="1">コース不参加費用試算!$J$34*AD45</f>
        <v>0</v>
      </c>
      <c r="AF45" s="421">
        <f ca="1">SUMIF($F$41:$AE45,"金額",$F45:$AE45)</f>
        <v>311780</v>
      </c>
    </row>
    <row r="46" spans="1:33" s="179" customFormat="1" ht="21.75" customHeight="1" thickBot="1">
      <c r="B46" s="406" t="str">
        <f>"雑費（@"&amp;TEXT(コース不参加費用試算!$J$35,"#,###")&amp;"×"&amp;計算シート!$C$6&amp;"日）"</f>
        <v>雑費（@1,040×120日）</v>
      </c>
      <c r="C46" s="363"/>
      <c r="D46" s="407"/>
      <c r="E46" s="427">
        <f>コース不参加費用試算!$L$35</f>
        <v>124800</v>
      </c>
      <c r="F46" s="428">
        <f>計算シート!C9</f>
        <v>0</v>
      </c>
      <c r="G46" s="429">
        <f>コース不参加費用試算!$J$35*F46</f>
        <v>0</v>
      </c>
      <c r="H46" s="430">
        <f>IF(H$40="",0,VLOOKUP(H$40,【研修日数】,10,FALSE))</f>
        <v>17</v>
      </c>
      <c r="I46" s="429">
        <f>コース不参加費用試算!$J$35*H46</f>
        <v>17680</v>
      </c>
      <c r="J46" s="430">
        <f>IF(J$40="",0,VLOOKUP(J$40,【研修日数】,10,FALSE))</f>
        <v>31</v>
      </c>
      <c r="K46" s="429">
        <f>コース不参加費用試算!$J$35*J46</f>
        <v>32240</v>
      </c>
      <c r="L46" s="430">
        <f ca="1">IF(L$40="",0,VLOOKUP(L$40,【研修日数】,10,FALSE))</f>
        <v>30</v>
      </c>
      <c r="M46" s="429">
        <f ca="1">コース不参加費用試算!$J$35*L46</f>
        <v>31200</v>
      </c>
      <c r="N46" s="430">
        <f ca="1">IF(N$40="",0,VLOOKUP(N$40,【研修日数】,10,FALSE))</f>
        <v>31</v>
      </c>
      <c r="O46" s="429">
        <f ca="1">コース不参加費用試算!$J$35*N46</f>
        <v>32240</v>
      </c>
      <c r="P46" s="430">
        <f ca="1">IF(P$40="",0,VLOOKUP(P$40,【研修日数】,10,FALSE))</f>
        <v>11</v>
      </c>
      <c r="Q46" s="429">
        <f ca="1">コース不参加費用試算!$J$35*P46</f>
        <v>11440</v>
      </c>
      <c r="R46" s="430">
        <f ca="1">IF(R$40="",0,VLOOKUP(R$40,【研修日数】,10,FALSE))</f>
        <v>0</v>
      </c>
      <c r="S46" s="429">
        <f ca="1">コース不参加費用試算!$J$35*R46</f>
        <v>0</v>
      </c>
      <c r="T46" s="430">
        <f ca="1">IF(T$40="",0,VLOOKUP(T$40,【研修日数】,10,FALSE))</f>
        <v>0</v>
      </c>
      <c r="U46" s="429">
        <f ca="1">コース不参加費用試算!$J$35*T46</f>
        <v>0</v>
      </c>
      <c r="V46" s="430">
        <f ca="1">IF(V$40="",0,VLOOKUP(V$40,【研修日数】,10,FALSE))</f>
        <v>0</v>
      </c>
      <c r="W46" s="429">
        <f ca="1">コース不参加費用試算!$J$35*V46</f>
        <v>0</v>
      </c>
      <c r="X46" s="430">
        <f ca="1">IF(X$40="",0,VLOOKUP(X$40,【研修日数】,10,FALSE))</f>
        <v>0</v>
      </c>
      <c r="Y46" s="429">
        <f ca="1">コース不参加費用試算!$J$35*X46</f>
        <v>0</v>
      </c>
      <c r="Z46" s="430">
        <f ca="1">IF(Z$40="",0,VLOOKUP(Z$40,【研修日数】,10,FALSE))</f>
        <v>0</v>
      </c>
      <c r="AA46" s="429">
        <f ca="1">コース不参加費用試算!$J$35*Z46</f>
        <v>0</v>
      </c>
      <c r="AB46" s="430">
        <f ca="1">IF(AB$40="",0,VLOOKUP(AB$40,【研修日数】,10,FALSE))</f>
        <v>0</v>
      </c>
      <c r="AC46" s="429">
        <f ca="1">コース不参加費用試算!$J$35*AB46</f>
        <v>0</v>
      </c>
      <c r="AD46" s="430">
        <f ca="1">IF(AD$40="",0,VLOOKUP(AD$40,【研修日数】,10,FALSE))</f>
        <v>0</v>
      </c>
      <c r="AE46" s="431">
        <f ca="1">コース不参加費用試算!$J$35*AD46</f>
        <v>0</v>
      </c>
      <c r="AF46" s="427">
        <f ca="1">SUMIF($F$41:$AE46,"金額",$F46:$AE46)</f>
        <v>124800</v>
      </c>
    </row>
    <row r="47" spans="1:33" s="179" customFormat="1" ht="30" customHeight="1" thickBot="1">
      <c r="B47" s="838" t="s">
        <v>110</v>
      </c>
      <c r="C47" s="839"/>
      <c r="D47" s="840"/>
      <c r="E47" s="432">
        <f>SUM(E42:E46)</f>
        <v>538360</v>
      </c>
      <c r="F47" s="433"/>
      <c r="G47" s="434">
        <f>SUM(G42:G46)</f>
        <v>100000</v>
      </c>
      <c r="H47" s="433"/>
      <c r="I47" s="434">
        <f>SUM(I42:I46)</f>
        <v>61380</v>
      </c>
      <c r="J47" s="433"/>
      <c r="K47" s="434">
        <f>SUM(K42:K46)</f>
        <v>113460</v>
      </c>
      <c r="L47" s="433"/>
      <c r="M47" s="434">
        <f ca="1">SUM(M42:M46)</f>
        <v>109800</v>
      </c>
      <c r="N47" s="433"/>
      <c r="O47" s="434">
        <f ca="1">SUM(O42:O46)</f>
        <v>113460</v>
      </c>
      <c r="P47" s="433"/>
      <c r="Q47" s="434">
        <f ca="1">SUM(Q42:Q46)</f>
        <v>40260</v>
      </c>
      <c r="R47" s="433"/>
      <c r="S47" s="434">
        <f ca="1">SUM(S42:S46)</f>
        <v>0</v>
      </c>
      <c r="T47" s="433"/>
      <c r="U47" s="434">
        <f ca="1">SUM(U42:U46)</f>
        <v>0</v>
      </c>
      <c r="V47" s="433"/>
      <c r="W47" s="434">
        <f ca="1">SUM(W42:W46)</f>
        <v>0</v>
      </c>
      <c r="X47" s="433"/>
      <c r="Y47" s="434">
        <f ca="1">SUM(Y42:Y46)</f>
        <v>0</v>
      </c>
      <c r="Z47" s="433"/>
      <c r="AA47" s="434">
        <f ca="1">SUM(AA42:AA46)</f>
        <v>0</v>
      </c>
      <c r="AB47" s="433"/>
      <c r="AC47" s="434">
        <f ca="1">SUM(AC42:AC46)</f>
        <v>0</v>
      </c>
      <c r="AD47" s="433"/>
      <c r="AE47" s="435">
        <f ca="1">SUM(AE42:AE46)</f>
        <v>0</v>
      </c>
      <c r="AF47" s="432">
        <f ca="1">SUM(AF42:AF46)</f>
        <v>538360</v>
      </c>
    </row>
    <row r="48" spans="1:33" s="179" customFormat="1" ht="20.100000000000001" customHeight="1">
      <c r="B48" s="1" t="s">
        <v>105</v>
      </c>
      <c r="C48" s="1"/>
      <c r="D48" s="1"/>
      <c r="E48" s="380"/>
      <c r="F48" s="384"/>
      <c r="G48" s="384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4"/>
      <c r="AE48" s="384"/>
      <c r="AF48" s="1"/>
    </row>
    <row r="49" spans="5:29" ht="13.5" customHeight="1">
      <c r="E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</row>
    <row r="50" spans="5:29" ht="13.5" customHeight="1">
      <c r="E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2"/>
      <c r="AC50" s="382"/>
    </row>
    <row r="51" spans="5:29">
      <c r="E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</row>
  </sheetData>
  <sheetProtection sheet="1" objects="1" scenarios="1" formatCells="0"/>
  <mergeCells count="82">
    <mergeCell ref="F1:G1"/>
    <mergeCell ref="A12:A18"/>
    <mergeCell ref="B18:D18"/>
    <mergeCell ref="AF6:AF7"/>
    <mergeCell ref="AD7:AE7"/>
    <mergeCell ref="AD6:AE6"/>
    <mergeCell ref="F7:G7"/>
    <mergeCell ref="A11:D11"/>
    <mergeCell ref="N7:O7"/>
    <mergeCell ref="L6:M6"/>
    <mergeCell ref="F6:G6"/>
    <mergeCell ref="J7:K7"/>
    <mergeCell ref="J6:K6"/>
    <mergeCell ref="H7:I7"/>
    <mergeCell ref="H6:I6"/>
    <mergeCell ref="L7:M7"/>
    <mergeCell ref="B47:D47"/>
    <mergeCell ref="B43:D43"/>
    <mergeCell ref="AB7:AC7"/>
    <mergeCell ref="AB6:AC6"/>
    <mergeCell ref="Z7:AA7"/>
    <mergeCell ref="Z6:AA6"/>
    <mergeCell ref="X7:Y7"/>
    <mergeCell ref="X6:Y6"/>
    <mergeCell ref="P7:Q7"/>
    <mergeCell ref="P6:Q6"/>
    <mergeCell ref="V7:W7"/>
    <mergeCell ref="V6:W6"/>
    <mergeCell ref="T7:U7"/>
    <mergeCell ref="T6:U6"/>
    <mergeCell ref="R7:S7"/>
    <mergeCell ref="R6:S6"/>
    <mergeCell ref="N6:O6"/>
    <mergeCell ref="C3:D3"/>
    <mergeCell ref="B4:C4"/>
    <mergeCell ref="C20:C22"/>
    <mergeCell ref="B25:D25"/>
    <mergeCell ref="A27:A29"/>
    <mergeCell ref="B29:D29"/>
    <mergeCell ref="A30:D30"/>
    <mergeCell ref="F30:G30"/>
    <mergeCell ref="H30:I30"/>
    <mergeCell ref="J30:K30"/>
    <mergeCell ref="L30:M30"/>
    <mergeCell ref="N30:O30"/>
    <mergeCell ref="P30:Q30"/>
    <mergeCell ref="R30:S30"/>
    <mergeCell ref="X31:Y31"/>
    <mergeCell ref="Z31:AA31"/>
    <mergeCell ref="AB31:AC31"/>
    <mergeCell ref="AD31:AE31"/>
    <mergeCell ref="T30:U30"/>
    <mergeCell ref="V30:W30"/>
    <mergeCell ref="X30:Y30"/>
    <mergeCell ref="Z30:AA30"/>
    <mergeCell ref="AB30:AC30"/>
    <mergeCell ref="N31:O31"/>
    <mergeCell ref="P31:Q31"/>
    <mergeCell ref="R31:S31"/>
    <mergeCell ref="T31:U31"/>
    <mergeCell ref="V31:W31"/>
    <mergeCell ref="A31:D31"/>
    <mergeCell ref="F31:G31"/>
    <mergeCell ref="H31:I31"/>
    <mergeCell ref="J31:K31"/>
    <mergeCell ref="L31:M31"/>
    <mergeCell ref="A19:A26"/>
    <mergeCell ref="B20:B23"/>
    <mergeCell ref="AD32:AE32"/>
    <mergeCell ref="F39:G39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D30:AE30"/>
  </mergeCells>
  <phoneticPr fontId="2"/>
  <conditionalFormatting sqref="P31:Q31">
    <cfRule type="expression" dxfId="27" priority="14" stopIfTrue="1">
      <formula>AND($N$31&lt;0,$P$31&gt;0,$P$31&lt;&gt;"")</formula>
    </cfRule>
    <cfRule type="expression" dxfId="26" priority="15" stopIfTrue="1">
      <formula>AND($P$31&lt;&gt;"",$R$31="")</formula>
    </cfRule>
  </conditionalFormatting>
  <conditionalFormatting sqref="F31:G31">
    <cfRule type="cellIs" dxfId="25" priority="4" stopIfTrue="1" operator="greaterThan">
      <formula>0</formula>
    </cfRule>
    <cfRule type="expression" dxfId="24" priority="5" stopIfTrue="1">
      <formula>AND($F$31&lt;&gt;"",$H$31="")</formula>
    </cfRule>
  </conditionalFormatting>
  <conditionalFormatting sqref="H31:I31">
    <cfRule type="expression" dxfId="23" priority="6" stopIfTrue="1">
      <formula>AND($F$31&lt;0,$H$31&gt;0,$H$31&lt;&gt;"")</formula>
    </cfRule>
    <cfRule type="expression" dxfId="22" priority="7" stopIfTrue="1">
      <formula>AND($H$31&lt;&gt;"",$J$31="")</formula>
    </cfRule>
  </conditionalFormatting>
  <conditionalFormatting sqref="J31:K31">
    <cfRule type="expression" dxfId="21" priority="8" stopIfTrue="1">
      <formula>AND($H$31&lt;0,$J$31&gt;0,$J$31&lt;&gt;"")</formula>
    </cfRule>
    <cfRule type="expression" dxfId="20" priority="9" stopIfTrue="1">
      <formula>AND($J$31&lt;&gt;"",$L$31="")</formula>
    </cfRule>
  </conditionalFormatting>
  <conditionalFormatting sqref="L31:M31">
    <cfRule type="expression" dxfId="19" priority="10" stopIfTrue="1">
      <formula>AND($J$31&lt;0,$L$31&gt;0,$L$31&lt;&gt;"")</formula>
    </cfRule>
    <cfRule type="expression" dxfId="18" priority="11" stopIfTrue="1">
      <formula>AND($L$31&lt;&gt;"",$N$31="")</formula>
    </cfRule>
  </conditionalFormatting>
  <conditionalFormatting sqref="N31:O31">
    <cfRule type="expression" dxfId="17" priority="12" stopIfTrue="1">
      <formula>AND($L$31&lt;0,$N$31&gt;0,$N$31&lt;&gt;"")</formula>
    </cfRule>
    <cfRule type="expression" dxfId="16" priority="13" stopIfTrue="1">
      <formula>AND($N$31&lt;&gt;"",$P$31="")</formula>
    </cfRule>
  </conditionalFormatting>
  <conditionalFormatting sqref="R31:S31">
    <cfRule type="expression" dxfId="15" priority="16" stopIfTrue="1">
      <formula>AND($P$31&lt;0,$R$31&gt;0,$R$31&lt;&gt;"")</formula>
    </cfRule>
    <cfRule type="expression" dxfId="14" priority="17" stopIfTrue="1">
      <formula>AND($R$31&lt;&gt;"",$T$31="")</formula>
    </cfRule>
  </conditionalFormatting>
  <conditionalFormatting sqref="T31:U31">
    <cfRule type="expression" dxfId="13" priority="18" stopIfTrue="1">
      <formula>AND($R$31&lt;0,$T$31&gt;0,$T$31&lt;&gt;"")</formula>
    </cfRule>
    <cfRule type="expression" dxfId="12" priority="19" stopIfTrue="1">
      <formula>AND($T$31&lt;&gt;"",$V$31="")</formula>
    </cfRule>
  </conditionalFormatting>
  <conditionalFormatting sqref="V31:W31">
    <cfRule type="expression" dxfId="11" priority="20" stopIfTrue="1">
      <formula>AND($T$31&lt;0,$V$31&gt;0,$V$31&lt;&gt;"")</formula>
    </cfRule>
    <cfRule type="expression" dxfId="10" priority="21" stopIfTrue="1">
      <formula>AND($V$31&lt;&gt;"",$X$31="")</formula>
    </cfRule>
  </conditionalFormatting>
  <conditionalFormatting sqref="X31:Y31">
    <cfRule type="expression" dxfId="9" priority="22" stopIfTrue="1">
      <formula>AND($V$31&lt;0,$X$31&gt;0,$X$31&lt;&gt;"")</formula>
    </cfRule>
    <cfRule type="expression" dxfId="8" priority="23" stopIfTrue="1">
      <formula>AND($X$31&lt;&gt;"",$Z$31="")</formula>
    </cfRule>
  </conditionalFormatting>
  <conditionalFormatting sqref="Z31:AA31">
    <cfRule type="expression" dxfId="7" priority="24" stopIfTrue="1">
      <formula>AND($X$31&lt;0,$Z$31&gt;0,$Z$31&lt;&gt;"")</formula>
    </cfRule>
    <cfRule type="expression" dxfId="6" priority="25" stopIfTrue="1">
      <formula>AND($Z$31&lt;&gt;"",$AB$31="")</formula>
    </cfRule>
  </conditionalFormatting>
  <conditionalFormatting sqref="AB31:AC31">
    <cfRule type="expression" dxfId="5" priority="26" stopIfTrue="1">
      <formula>AND($Z$31&lt;0,$AB$31&gt;0,$AB$31&lt;&gt;"")</formula>
    </cfRule>
    <cfRule type="expression" dxfId="4" priority="27" stopIfTrue="1">
      <formula>AND($AB$31&lt;&gt;"",$AD$31="")</formula>
    </cfRule>
  </conditionalFormatting>
  <conditionalFormatting sqref="AD31:AE31">
    <cfRule type="expression" dxfId="3" priority="28" stopIfTrue="1">
      <formula>AND($AB$31&lt;0,$AD$31&gt;0,$AD$31&lt;&gt;"")</formula>
    </cfRule>
    <cfRule type="expression" dxfId="2" priority="29" stopIfTrue="1">
      <formula>$AD$30&gt;0</formula>
    </cfRule>
  </conditionalFormatting>
  <conditionalFormatting sqref="F25:AE25 F18:AE18 F29:AE29 F30 H30 J30 L30 N30 P30 R30 T30 V30 X30 Z30 AB30 AD30">
    <cfRule type="cellIs" dxfId="1" priority="3" stopIfTrue="1" operator="equal">
      <formula>0</formula>
    </cfRule>
  </conditionalFormatting>
  <conditionalFormatting sqref="F8:AE10 F13:AE17 F19:AE24 F26:AE28 F42:AE46">
    <cfRule type="cellIs" dxfId="0" priority="1" stopIfTrue="1" operator="equal">
      <formula>0</formula>
    </cfRule>
  </conditionalFormatting>
  <dataValidations count="1">
    <dataValidation type="date" imeMode="off" operator="greaterThanOrEqual" allowBlank="1" showErrorMessage="1" sqref="C3 F1">
      <formula1>1</formula1>
    </dataValidation>
  </dataValidations>
  <printOptions horizontalCentered="1"/>
  <pageMargins left="0" right="0" top="0.9055118110236221" bottom="0.35433070866141736" header="0.51181102362204722" footer="0.15748031496062992"/>
  <pageSetup paperSize="8" scale="75" pageOrder="overThenDown" orientation="landscape" r:id="rId1"/>
  <headerFooter alignWithMargins="0">
    <oddHeader>&amp;R月別受入費等明細（コース不参加）：2020年度版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195"/>
  <sheetViews>
    <sheetView showGridLines="0" topLeftCell="A19" zoomScaleNormal="100" workbookViewId="0">
      <selection activeCell="G43" sqref="G43"/>
    </sheetView>
  </sheetViews>
  <sheetFormatPr defaultColWidth="10.625" defaultRowHeight="13.5" customHeight="1"/>
  <cols>
    <col min="1" max="1" width="3" style="1" customWidth="1"/>
    <col min="2" max="2" width="13.125" style="1" customWidth="1"/>
    <col min="3" max="3" width="31.125" style="1" customWidth="1"/>
    <col min="4" max="16384" width="10.625" style="1"/>
  </cols>
  <sheetData>
    <row r="1" spans="1:21" ht="13.5" customHeight="1">
      <c r="A1" s="3"/>
      <c r="B1" s="1" t="s">
        <v>259</v>
      </c>
    </row>
    <row r="2" spans="1:21" ht="13.5" customHeight="1">
      <c r="B2" s="177" t="s">
        <v>248</v>
      </c>
    </row>
    <row r="3" spans="1:21" ht="13.5" customHeight="1" thickBot="1">
      <c r="B3" s="1" t="s">
        <v>20</v>
      </c>
      <c r="I3" s="1" t="s">
        <v>83</v>
      </c>
      <c r="O3" s="1" t="s">
        <v>82</v>
      </c>
      <c r="Q3"/>
    </row>
    <row r="4" spans="1:21" ht="13.5" customHeight="1" thickBot="1">
      <c r="B4" s="144" t="s">
        <v>56</v>
      </c>
      <c r="C4" s="145" t="s">
        <v>57</v>
      </c>
      <c r="D4" s="873" t="s">
        <v>26</v>
      </c>
      <c r="E4" s="874"/>
      <c r="I4" s="150"/>
      <c r="J4" s="151"/>
      <c r="K4" s="145" t="s">
        <v>22</v>
      </c>
      <c r="L4" s="873" t="s">
        <v>26</v>
      </c>
      <c r="M4" s="875"/>
      <c r="O4" s="880" t="s">
        <v>71</v>
      </c>
      <c r="P4" s="876" t="s">
        <v>72</v>
      </c>
      <c r="Q4" s="877"/>
    </row>
    <row r="5" spans="1:21" ht="13.5" customHeight="1" thickTop="1" thickBot="1">
      <c r="B5" s="79" t="s">
        <v>42</v>
      </c>
      <c r="C5" s="80">
        <f>コース不参加費用試算!F9</f>
        <v>43935</v>
      </c>
      <c r="D5" s="81" t="s">
        <v>68</v>
      </c>
      <c r="E5" s="82">
        <f>YEAR(DATE(YEAR(C5),MONTH(C5)-2,0))</f>
        <v>2020</v>
      </c>
      <c r="I5" s="39" t="str">
        <f>MATCH(J5,$L$15:$L$27,0)&amp;"ヶ月目"</f>
        <v>1ヶ月目</v>
      </c>
      <c r="J5" s="85" t="str">
        <f>VLOOKUP(YEAR(C5)&amp;"/"&amp;MONTH(C5),【研修日数】,1,FALSE)</f>
        <v>2020/4</v>
      </c>
      <c r="K5" s="31">
        <f>コース不参加費用試算!$O$14</f>
        <v>1340</v>
      </c>
      <c r="L5" s="664" t="s">
        <v>255</v>
      </c>
      <c r="M5" s="665" t="s">
        <v>256</v>
      </c>
      <c r="O5" s="881"/>
      <c r="P5" s="270" t="s">
        <v>73</v>
      </c>
      <c r="Q5" s="152" t="s">
        <v>76</v>
      </c>
    </row>
    <row r="6" spans="1:21" ht="13.5" customHeight="1" thickTop="1">
      <c r="B6" s="6" t="s">
        <v>4</v>
      </c>
      <c r="C6" s="155">
        <f>コース不参加費用試算!$F$11</f>
        <v>120</v>
      </c>
      <c r="D6" s="7"/>
      <c r="E6" s="8"/>
      <c r="I6" s="666" t="str">
        <f>IF(J6="","",MATCH(J6,$L$15:$L$27,0)&amp;"ヶ月目")</f>
        <v>5ヶ月目</v>
      </c>
      <c r="J6" s="85" t="str">
        <f>VLOOKUP(YEAR(C14)&amp;"/"&amp;MONTH(C14),【研修日数】,1,FALSE)</f>
        <v>2020/8</v>
      </c>
      <c r="K6" s="31">
        <f>コース不参加費用試算!$O$15</f>
        <v>1000</v>
      </c>
      <c r="L6" s="667" t="s">
        <v>258</v>
      </c>
      <c r="M6" s="665"/>
      <c r="O6" s="89" t="s">
        <v>74</v>
      </c>
      <c r="P6" s="90">
        <v>0</v>
      </c>
      <c r="Q6" s="91"/>
    </row>
    <row r="7" spans="1:21" ht="13.5" customHeight="1" thickBot="1">
      <c r="B7" s="64" t="s">
        <v>5</v>
      </c>
      <c r="C7" s="65"/>
      <c r="D7" s="26"/>
      <c r="E7" s="66" t="s">
        <v>40</v>
      </c>
      <c r="I7" s="639"/>
      <c r="J7" s="640"/>
      <c r="K7" s="641"/>
      <c r="L7" s="642"/>
      <c r="M7" s="643"/>
      <c r="O7" s="36" t="s">
        <v>75</v>
      </c>
      <c r="P7" s="37"/>
      <c r="Q7" s="38">
        <v>0</v>
      </c>
    </row>
    <row r="8" spans="1:21" ht="13.5" customHeight="1" thickBot="1">
      <c r="B8" s="21" t="s">
        <v>29</v>
      </c>
      <c r="C8" s="24"/>
      <c r="D8" s="27"/>
      <c r="E8" s="28"/>
      <c r="I8" s="878" t="s">
        <v>3</v>
      </c>
      <c r="J8" s="879"/>
      <c r="K8" s="86">
        <f>SUM(K5:K7)</f>
        <v>2340</v>
      </c>
      <c r="L8" s="87"/>
      <c r="M8" s="88"/>
    </row>
    <row r="9" spans="1:21" ht="13.5" customHeight="1">
      <c r="B9" s="75" t="s">
        <v>70</v>
      </c>
      <c r="C9" s="76"/>
      <c r="D9" s="77" t="s">
        <v>58</v>
      </c>
      <c r="E9" s="78"/>
    </row>
    <row r="10" spans="1:21" ht="13.5" customHeight="1">
      <c r="B10" s="22" t="s">
        <v>30</v>
      </c>
      <c r="C10" s="25"/>
      <c r="D10" s="29"/>
      <c r="E10" s="30"/>
    </row>
    <row r="11" spans="1:21" ht="13.5" customHeight="1" thickBot="1">
      <c r="B11" s="173" t="s">
        <v>188</v>
      </c>
      <c r="C11" s="174"/>
      <c r="D11" s="174" t="str">
        <f>IF(C11="","",$C$11+2)</f>
        <v/>
      </c>
      <c r="E11" s="175"/>
      <c r="I11" s="1" t="s">
        <v>21</v>
      </c>
      <c r="J11" s="4"/>
      <c r="N11" s="2"/>
    </row>
    <row r="12" spans="1:21" ht="13.5" customHeight="1">
      <c r="B12" s="67" t="s">
        <v>27</v>
      </c>
      <c r="C12" s="68">
        <f>コース不参加費用試算!$F$13</f>
        <v>43935</v>
      </c>
      <c r="D12" s="69"/>
      <c r="E12" s="70"/>
      <c r="I12" s="885"/>
      <c r="J12" s="861" t="s">
        <v>62</v>
      </c>
      <c r="K12" s="861" t="s">
        <v>63</v>
      </c>
      <c r="L12" s="861" t="s">
        <v>66</v>
      </c>
      <c r="M12" s="861" t="s">
        <v>65</v>
      </c>
      <c r="N12" s="882" t="s">
        <v>64</v>
      </c>
      <c r="O12" s="861" t="s">
        <v>38</v>
      </c>
      <c r="P12" s="861" t="s">
        <v>32</v>
      </c>
      <c r="Q12" s="861" t="s">
        <v>59</v>
      </c>
      <c r="R12" s="882" t="s">
        <v>99</v>
      </c>
      <c r="S12" s="861" t="s">
        <v>34</v>
      </c>
      <c r="T12" s="861" t="s">
        <v>36</v>
      </c>
      <c r="U12" s="870" t="s">
        <v>35</v>
      </c>
    </row>
    <row r="13" spans="1:21" ht="13.5" customHeight="1">
      <c r="B13" s="22" t="s">
        <v>70</v>
      </c>
      <c r="C13" s="23">
        <f>コース不参加費用試算!$F$11</f>
        <v>120</v>
      </c>
      <c r="D13" s="29"/>
      <c r="E13" s="30"/>
      <c r="I13" s="886"/>
      <c r="J13" s="862"/>
      <c r="K13" s="862"/>
      <c r="L13" s="862"/>
      <c r="M13" s="862"/>
      <c r="N13" s="883"/>
      <c r="O13" s="862"/>
      <c r="P13" s="862"/>
      <c r="Q13" s="862"/>
      <c r="R13" s="883"/>
      <c r="S13" s="862"/>
      <c r="T13" s="862"/>
      <c r="U13" s="871"/>
    </row>
    <row r="14" spans="1:21" ht="13.5" customHeight="1" thickBot="1">
      <c r="B14" s="71" t="s">
        <v>67</v>
      </c>
      <c r="C14" s="72">
        <f>コース不参加費用試算!I13</f>
        <v>44054</v>
      </c>
      <c r="D14" s="73" t="s">
        <v>68</v>
      </c>
      <c r="E14" s="74">
        <f>YEAR(DATE(YEAR(C14),MONTH(C14)-2,0))</f>
        <v>2020</v>
      </c>
      <c r="I14" s="887"/>
      <c r="J14" s="863"/>
      <c r="K14" s="863"/>
      <c r="L14" s="863"/>
      <c r="M14" s="863"/>
      <c r="N14" s="884"/>
      <c r="O14" s="863"/>
      <c r="P14" s="863"/>
      <c r="Q14" s="863"/>
      <c r="R14" s="884"/>
      <c r="S14" s="863"/>
      <c r="T14" s="863"/>
      <c r="U14" s="872"/>
    </row>
    <row r="15" spans="1:21" ht="13.5" customHeight="1" thickTop="1">
      <c r="I15" s="92" t="s">
        <v>7</v>
      </c>
      <c r="J15" s="93">
        <f>YEAR(C5)</f>
        <v>2020</v>
      </c>
      <c r="K15" s="94">
        <f>MONTH(C5)</f>
        <v>4</v>
      </c>
      <c r="L15" s="95" t="str">
        <f>J15&amp;"/"&amp;K15</f>
        <v>2020/4</v>
      </c>
      <c r="M15" s="94">
        <f t="shared" ref="M15:M27" si="0">VLOOKUP(K15,【月別標準日数】,3,FALSE)</f>
        <v>30</v>
      </c>
      <c r="N15" s="80">
        <f>DATE(J15,K15,M15)</f>
        <v>43951</v>
      </c>
      <c r="O15" s="96" t="str">
        <f>IF(OR(MOD(YEAR(N15),400)=0,AND(MOD(YEAR(N15),4)=0,MOD(YEAR(N15),100)&lt;&gt;0,MONTH(N15)=2)),"○","×")</f>
        <v>×</v>
      </c>
      <c r="P15" s="97">
        <f t="shared" ref="P15:P27" si="1">IF(O15="×",N15,N15+1)</f>
        <v>43951</v>
      </c>
      <c r="Q15" s="98">
        <f t="shared" ref="Q15:Q27" si="2">DAY(P15)</f>
        <v>30</v>
      </c>
      <c r="R15" s="99">
        <f t="shared" ref="R15:R27" si="3">DATEDIF($C$5,P15,"D")+1</f>
        <v>17</v>
      </c>
      <c r="S15" s="100">
        <f>R15</f>
        <v>17</v>
      </c>
      <c r="T15" s="100">
        <v>0</v>
      </c>
      <c r="U15" s="101">
        <f t="shared" ref="U15:U27" si="4">S15-T15</f>
        <v>17</v>
      </c>
    </row>
    <row r="16" spans="1:21" ht="13.5" customHeight="1" thickBot="1">
      <c r="I16" s="10" t="s">
        <v>8</v>
      </c>
      <c r="J16" s="11">
        <f t="shared" ref="J16:J27" si="5">IF(K15=12,J15+1,J15)</f>
        <v>2020</v>
      </c>
      <c r="K16" s="12">
        <f>IF(K15=12,1,K15+1)</f>
        <v>5</v>
      </c>
      <c r="L16" s="13" t="str">
        <f t="shared" ref="L16:L27" si="6">J16&amp;"/"&amp;K16</f>
        <v>2020/5</v>
      </c>
      <c r="M16" s="12">
        <f t="shared" si="0"/>
        <v>31</v>
      </c>
      <c r="N16" s="9">
        <f t="shared" ref="N16:N27" si="7">DATE(J16,K16,M16)</f>
        <v>43982</v>
      </c>
      <c r="O16" s="14" t="str">
        <f t="shared" ref="O16:O27" si="8">IF(OR(MOD(YEAR(N16),400)=0,AND(MOD(YEAR(N16),4)=0,MOD(YEAR(N16),100)&lt;&gt;0,MONTH(N16)=2)),"○","×")</f>
        <v>×</v>
      </c>
      <c r="P16" s="15">
        <f t="shared" si="1"/>
        <v>43982</v>
      </c>
      <c r="Q16" s="16">
        <f t="shared" si="2"/>
        <v>31</v>
      </c>
      <c r="R16" s="17">
        <f t="shared" si="3"/>
        <v>48</v>
      </c>
      <c r="S16" s="18">
        <f>IF(S15=$C$6,0,IF(R16&gt;$C$6,$C$6-R15,Q16))</f>
        <v>31</v>
      </c>
      <c r="T16" s="18">
        <f>IF(($C$9-T15)&gt;S16,S16,($C$9-T15))</f>
        <v>0</v>
      </c>
      <c r="U16" s="19">
        <f t="shared" si="4"/>
        <v>31</v>
      </c>
    </row>
    <row r="17" spans="1:21" ht="13.5" customHeight="1">
      <c r="B17" s="146" t="s">
        <v>90</v>
      </c>
      <c r="C17" s="136" t="s">
        <v>87</v>
      </c>
      <c r="D17" s="660">
        <v>630</v>
      </c>
      <c r="H17" s="4"/>
      <c r="I17" s="10" t="s">
        <v>9</v>
      </c>
      <c r="J17" s="11">
        <f t="shared" si="5"/>
        <v>2020</v>
      </c>
      <c r="K17" s="12">
        <f t="shared" ref="K17:K27" si="9">IF(K16=12,1,K16+1)</f>
        <v>6</v>
      </c>
      <c r="L17" s="13" t="str">
        <f t="shared" si="6"/>
        <v>2020/6</v>
      </c>
      <c r="M17" s="12">
        <f t="shared" si="0"/>
        <v>30</v>
      </c>
      <c r="N17" s="9">
        <f t="shared" si="7"/>
        <v>44012</v>
      </c>
      <c r="O17" s="14" t="str">
        <f t="shared" si="8"/>
        <v>×</v>
      </c>
      <c r="P17" s="15">
        <f t="shared" si="1"/>
        <v>44012</v>
      </c>
      <c r="Q17" s="16">
        <f t="shared" si="2"/>
        <v>30</v>
      </c>
      <c r="R17" s="17">
        <f t="shared" si="3"/>
        <v>78</v>
      </c>
      <c r="S17" s="18">
        <f>IF(SUM(S15:S16)=$C$6,0,IF(R17&gt;$C$6,$C$6-R16,Q17))</f>
        <v>30</v>
      </c>
      <c r="T17" s="18">
        <f>IF(($C$9-SUM($T$15:T16))&gt;S17,S17,($C$9-SUM($T$15:T16)))</f>
        <v>0</v>
      </c>
      <c r="U17" s="19">
        <f t="shared" si="4"/>
        <v>30</v>
      </c>
    </row>
    <row r="18" spans="1:21" ht="13.5" customHeight="1">
      <c r="A18" s="4"/>
      <c r="B18" s="147"/>
      <c r="C18" s="137" t="s">
        <v>88</v>
      </c>
      <c r="D18" s="661">
        <v>840</v>
      </c>
      <c r="H18" s="4"/>
      <c r="I18" s="10" t="s">
        <v>10</v>
      </c>
      <c r="J18" s="11">
        <f t="shared" si="5"/>
        <v>2020</v>
      </c>
      <c r="K18" s="12">
        <f t="shared" si="9"/>
        <v>7</v>
      </c>
      <c r="L18" s="13" t="str">
        <f t="shared" si="6"/>
        <v>2020/7</v>
      </c>
      <c r="M18" s="12">
        <f t="shared" si="0"/>
        <v>31</v>
      </c>
      <c r="N18" s="9">
        <f t="shared" si="7"/>
        <v>44043</v>
      </c>
      <c r="O18" s="14" t="str">
        <f t="shared" si="8"/>
        <v>×</v>
      </c>
      <c r="P18" s="15">
        <f t="shared" si="1"/>
        <v>44043</v>
      </c>
      <c r="Q18" s="16">
        <f t="shared" si="2"/>
        <v>31</v>
      </c>
      <c r="R18" s="17">
        <f t="shared" si="3"/>
        <v>109</v>
      </c>
      <c r="S18" s="18">
        <f>IF(SUM(S15:S17)=$C$6,0,IF(R18&gt;$C$6,$C$6-R17,Q18))</f>
        <v>31</v>
      </c>
      <c r="T18" s="18">
        <f>IF(($C$9-SUM($T$15:T17))&gt;S18,S18,($C$9-SUM($T$15:T17)))</f>
        <v>0</v>
      </c>
      <c r="U18" s="19">
        <f t="shared" si="4"/>
        <v>31</v>
      </c>
    </row>
    <row r="19" spans="1:21" ht="13.5" customHeight="1">
      <c r="A19" s="4"/>
      <c r="B19" s="147"/>
      <c r="C19" s="156" t="s">
        <v>89</v>
      </c>
      <c r="D19" s="662">
        <v>1150</v>
      </c>
      <c r="H19" s="4"/>
      <c r="I19" s="10" t="s">
        <v>11</v>
      </c>
      <c r="J19" s="11">
        <f t="shared" si="5"/>
        <v>2020</v>
      </c>
      <c r="K19" s="12">
        <f t="shared" si="9"/>
        <v>8</v>
      </c>
      <c r="L19" s="13" t="str">
        <f t="shared" si="6"/>
        <v>2020/8</v>
      </c>
      <c r="M19" s="12">
        <f t="shared" si="0"/>
        <v>31</v>
      </c>
      <c r="N19" s="9">
        <f t="shared" si="7"/>
        <v>44074</v>
      </c>
      <c r="O19" s="14" t="str">
        <f t="shared" si="8"/>
        <v>×</v>
      </c>
      <c r="P19" s="15">
        <f t="shared" si="1"/>
        <v>44074</v>
      </c>
      <c r="Q19" s="16">
        <f t="shared" si="2"/>
        <v>31</v>
      </c>
      <c r="R19" s="17">
        <f t="shared" si="3"/>
        <v>140</v>
      </c>
      <c r="S19" s="18">
        <f>IF(SUM(S15:S18)=$C$6,0,IF(R19&gt;$C$6,$C$6-R18,Q19))</f>
        <v>11</v>
      </c>
      <c r="T19" s="18">
        <f>IF(($C$9-SUM($T$15:T18))&gt;S19,S19,($C$9-SUM($T$15:T18)))</f>
        <v>0</v>
      </c>
      <c r="U19" s="19">
        <f t="shared" si="4"/>
        <v>11</v>
      </c>
    </row>
    <row r="20" spans="1:21" ht="13.5" customHeight="1">
      <c r="A20" s="4"/>
      <c r="B20" s="158" t="s">
        <v>1</v>
      </c>
      <c r="C20" s="137" t="s">
        <v>1</v>
      </c>
      <c r="D20" s="661">
        <v>1040</v>
      </c>
      <c r="H20" s="4"/>
      <c r="I20" s="10" t="s">
        <v>12</v>
      </c>
      <c r="J20" s="11">
        <f t="shared" si="5"/>
        <v>2020</v>
      </c>
      <c r="K20" s="12">
        <f t="shared" si="9"/>
        <v>9</v>
      </c>
      <c r="L20" s="13" t="str">
        <f t="shared" si="6"/>
        <v>2020/9</v>
      </c>
      <c r="M20" s="12">
        <f t="shared" si="0"/>
        <v>30</v>
      </c>
      <c r="N20" s="9">
        <f t="shared" si="7"/>
        <v>44104</v>
      </c>
      <c r="O20" s="14" t="str">
        <f t="shared" si="8"/>
        <v>×</v>
      </c>
      <c r="P20" s="15">
        <f t="shared" si="1"/>
        <v>44104</v>
      </c>
      <c r="Q20" s="16">
        <f t="shared" si="2"/>
        <v>30</v>
      </c>
      <c r="R20" s="17">
        <f t="shared" si="3"/>
        <v>170</v>
      </c>
      <c r="S20" s="18">
        <f>IF(SUM(S15:S19)=$C$6,0,IF(R20&gt;$C$6,$C$6-R19,Q20))</f>
        <v>0</v>
      </c>
      <c r="T20" s="18">
        <f>IF(($C$9-SUM($T$15:T19))&gt;S20,S20,($C$9-SUM($T$15:T19)))</f>
        <v>0</v>
      </c>
      <c r="U20" s="19">
        <f t="shared" si="4"/>
        <v>0</v>
      </c>
    </row>
    <row r="21" spans="1:21" ht="13.5" customHeight="1">
      <c r="A21" s="4"/>
      <c r="B21" s="148" t="s">
        <v>6</v>
      </c>
      <c r="C21" s="157" t="s">
        <v>260</v>
      </c>
      <c r="D21" s="663">
        <v>3360</v>
      </c>
      <c r="H21" s="4"/>
      <c r="I21" s="10" t="s">
        <v>13</v>
      </c>
      <c r="J21" s="11">
        <f t="shared" si="5"/>
        <v>2020</v>
      </c>
      <c r="K21" s="12">
        <f t="shared" si="9"/>
        <v>10</v>
      </c>
      <c r="L21" s="13" t="str">
        <f t="shared" si="6"/>
        <v>2020/10</v>
      </c>
      <c r="M21" s="12">
        <f t="shared" si="0"/>
        <v>31</v>
      </c>
      <c r="N21" s="9">
        <f t="shared" si="7"/>
        <v>44135</v>
      </c>
      <c r="O21" s="14" t="str">
        <f t="shared" si="8"/>
        <v>×</v>
      </c>
      <c r="P21" s="15">
        <f t="shared" si="1"/>
        <v>44135</v>
      </c>
      <c r="Q21" s="16">
        <f t="shared" si="2"/>
        <v>31</v>
      </c>
      <c r="R21" s="17">
        <f t="shared" si="3"/>
        <v>201</v>
      </c>
      <c r="S21" s="18">
        <f>IF(SUM(S15:S20)=$C$6,0,IF(R21&gt;$C$6,$C$6-R20,Q21))</f>
        <v>0</v>
      </c>
      <c r="T21" s="18">
        <f>IF(($C$9-SUM($T$15:T20))&gt;S21,S21,($C$9-SUM($T$15:T20)))</f>
        <v>0</v>
      </c>
      <c r="U21" s="19">
        <f t="shared" si="4"/>
        <v>0</v>
      </c>
    </row>
    <row r="22" spans="1:21" ht="13.5" customHeight="1" thickBot="1">
      <c r="A22" s="4"/>
      <c r="B22" s="149"/>
      <c r="C22" s="138" t="s">
        <v>91</v>
      </c>
      <c r="D22" s="139">
        <v>5190</v>
      </c>
      <c r="E22" s="4"/>
      <c r="H22" s="4"/>
      <c r="I22" s="10" t="s">
        <v>14</v>
      </c>
      <c r="J22" s="11">
        <f t="shared" si="5"/>
        <v>2020</v>
      </c>
      <c r="K22" s="12">
        <f t="shared" si="9"/>
        <v>11</v>
      </c>
      <c r="L22" s="13" t="str">
        <f t="shared" si="6"/>
        <v>2020/11</v>
      </c>
      <c r="M22" s="12">
        <f t="shared" si="0"/>
        <v>30</v>
      </c>
      <c r="N22" s="9">
        <f t="shared" si="7"/>
        <v>44165</v>
      </c>
      <c r="O22" s="14" t="str">
        <f t="shared" si="8"/>
        <v>×</v>
      </c>
      <c r="P22" s="15">
        <f t="shared" si="1"/>
        <v>44165</v>
      </c>
      <c r="Q22" s="16">
        <f t="shared" si="2"/>
        <v>30</v>
      </c>
      <c r="R22" s="17">
        <f t="shared" si="3"/>
        <v>231</v>
      </c>
      <c r="S22" s="18">
        <f>IF(SUM(S15:S21)=$C$6,0,IF(R22&gt;$C$6,$C$6-R21,Q22))</f>
        <v>0</v>
      </c>
      <c r="T22" s="18">
        <f>IF(($C$9-SUM($T$15:T21))&gt;S22,S22,($C$9-SUM($T$15:T21)))</f>
        <v>0</v>
      </c>
      <c r="U22" s="19">
        <f t="shared" si="4"/>
        <v>0</v>
      </c>
    </row>
    <row r="23" spans="1:21" ht="13.5" customHeight="1">
      <c r="A23" s="4"/>
      <c r="B23" s="4"/>
      <c r="C23" s="4"/>
      <c r="D23" s="4"/>
      <c r="E23" s="4"/>
      <c r="F23" s="4"/>
      <c r="G23" s="4"/>
      <c r="H23" s="4"/>
      <c r="I23" s="10" t="s">
        <v>15</v>
      </c>
      <c r="J23" s="11">
        <f t="shared" si="5"/>
        <v>2020</v>
      </c>
      <c r="K23" s="12">
        <f t="shared" si="9"/>
        <v>12</v>
      </c>
      <c r="L23" s="13" t="str">
        <f t="shared" si="6"/>
        <v>2020/12</v>
      </c>
      <c r="M23" s="12">
        <f t="shared" si="0"/>
        <v>31</v>
      </c>
      <c r="N23" s="9">
        <f t="shared" si="7"/>
        <v>44196</v>
      </c>
      <c r="O23" s="14" t="str">
        <f t="shared" si="8"/>
        <v>×</v>
      </c>
      <c r="P23" s="15">
        <f t="shared" si="1"/>
        <v>44196</v>
      </c>
      <c r="Q23" s="16">
        <f t="shared" si="2"/>
        <v>31</v>
      </c>
      <c r="R23" s="17">
        <f t="shared" si="3"/>
        <v>262</v>
      </c>
      <c r="S23" s="18">
        <f>IF(SUM(S15:S22)=$C$6,0,IF(R23&gt;$C$6,$C$6-R22,Q23))</f>
        <v>0</v>
      </c>
      <c r="T23" s="18">
        <f>IF(($C$9-SUM($T$15:T22))&gt;S23,S23,($C$9-SUM($T$15:T22)))</f>
        <v>0</v>
      </c>
      <c r="U23" s="19">
        <f t="shared" si="4"/>
        <v>0</v>
      </c>
    </row>
    <row r="24" spans="1:21" ht="13.5" customHeight="1">
      <c r="A24" s="4"/>
      <c r="H24" s="4"/>
      <c r="I24" s="10" t="s">
        <v>16</v>
      </c>
      <c r="J24" s="11">
        <f t="shared" si="5"/>
        <v>2021</v>
      </c>
      <c r="K24" s="12">
        <f t="shared" si="9"/>
        <v>1</v>
      </c>
      <c r="L24" s="13" t="str">
        <f t="shared" si="6"/>
        <v>2021/1</v>
      </c>
      <c r="M24" s="12">
        <f t="shared" si="0"/>
        <v>31</v>
      </c>
      <c r="N24" s="9">
        <f t="shared" si="7"/>
        <v>44227</v>
      </c>
      <c r="O24" s="14" t="str">
        <f t="shared" si="8"/>
        <v>×</v>
      </c>
      <c r="P24" s="15">
        <f t="shared" si="1"/>
        <v>44227</v>
      </c>
      <c r="Q24" s="16">
        <f t="shared" si="2"/>
        <v>31</v>
      </c>
      <c r="R24" s="17">
        <f t="shared" si="3"/>
        <v>293</v>
      </c>
      <c r="S24" s="18">
        <f>IF(SUM(S15:S23)=$C$6,0,IF(R24&gt;$C$6,$C$6-R23,Q24))</f>
        <v>0</v>
      </c>
      <c r="T24" s="18">
        <f>IF(($C$9-SUM($T$15:T23))&gt;S24,S24,($C$9-SUM($T$15:T23)))</f>
        <v>0</v>
      </c>
      <c r="U24" s="19">
        <f t="shared" si="4"/>
        <v>0</v>
      </c>
    </row>
    <row r="25" spans="1:21" ht="13.5" customHeight="1">
      <c r="A25" s="4"/>
      <c r="B25" s="32" t="s">
        <v>84</v>
      </c>
      <c r="H25" s="4"/>
      <c r="I25" s="10" t="s">
        <v>17</v>
      </c>
      <c r="J25" s="11">
        <f t="shared" si="5"/>
        <v>2021</v>
      </c>
      <c r="K25" s="12">
        <f t="shared" si="9"/>
        <v>2</v>
      </c>
      <c r="L25" s="13" t="str">
        <f t="shared" si="6"/>
        <v>2021/2</v>
      </c>
      <c r="M25" s="12">
        <f t="shared" si="0"/>
        <v>28</v>
      </c>
      <c r="N25" s="9">
        <f t="shared" si="7"/>
        <v>44255</v>
      </c>
      <c r="O25" s="14" t="str">
        <f t="shared" si="8"/>
        <v>×</v>
      </c>
      <c r="P25" s="15">
        <f t="shared" si="1"/>
        <v>44255</v>
      </c>
      <c r="Q25" s="16">
        <f t="shared" si="2"/>
        <v>28</v>
      </c>
      <c r="R25" s="17">
        <f t="shared" si="3"/>
        <v>321</v>
      </c>
      <c r="S25" s="18">
        <f>IF(SUM(S15:S24)=$C$6,0,IF(R25&gt;$C$6,$C$6-R24,Q25))</f>
        <v>0</v>
      </c>
      <c r="T25" s="18">
        <f>IF(($C$9-SUM($T$15:T24))&gt;S25,S25,($C$9-SUM($T$15:T24)))</f>
        <v>0</v>
      </c>
      <c r="U25" s="19">
        <f t="shared" si="4"/>
        <v>0</v>
      </c>
    </row>
    <row r="26" spans="1:21" ht="13.5" customHeight="1" thickBot="1">
      <c r="A26" s="4"/>
      <c r="B26" s="40">
        <v>2</v>
      </c>
      <c r="F26" s="4" t="s">
        <v>79</v>
      </c>
      <c r="G26" s="5"/>
      <c r="H26" s="4"/>
      <c r="I26" s="10" t="s">
        <v>18</v>
      </c>
      <c r="J26" s="11">
        <f t="shared" si="5"/>
        <v>2021</v>
      </c>
      <c r="K26" s="12">
        <f t="shared" si="9"/>
        <v>3</v>
      </c>
      <c r="L26" s="13" t="str">
        <f t="shared" si="6"/>
        <v>2021/3</v>
      </c>
      <c r="M26" s="12">
        <f t="shared" si="0"/>
        <v>31</v>
      </c>
      <c r="N26" s="9">
        <f t="shared" si="7"/>
        <v>44286</v>
      </c>
      <c r="O26" s="14" t="str">
        <f t="shared" si="8"/>
        <v>×</v>
      </c>
      <c r="P26" s="15">
        <f t="shared" si="1"/>
        <v>44286</v>
      </c>
      <c r="Q26" s="16">
        <f t="shared" si="2"/>
        <v>31</v>
      </c>
      <c r="R26" s="17">
        <f t="shared" si="3"/>
        <v>352</v>
      </c>
      <c r="S26" s="18">
        <f>IF(SUM(S15:S25)=$C$6,0,IF(R26&gt;=$C$6,$C$6-R25,Q26))</f>
        <v>0</v>
      </c>
      <c r="T26" s="18">
        <f>IF(($C$9-SUM($T$15:T25))&gt;S26,S26,($C$9-SUM($T$15:T25)))</f>
        <v>0</v>
      </c>
      <c r="U26" s="19">
        <f t="shared" si="4"/>
        <v>0</v>
      </c>
    </row>
    <row r="27" spans="1:21" ht="13.5" customHeight="1" thickBot="1">
      <c r="A27" s="4"/>
      <c r="B27" s="150" t="s">
        <v>28</v>
      </c>
      <c r="C27" s="144" t="s">
        <v>39</v>
      </c>
      <c r="D27" s="271" t="s">
        <v>92</v>
      </c>
      <c r="F27" s="144" t="s">
        <v>28</v>
      </c>
      <c r="G27" s="144" t="s">
        <v>39</v>
      </c>
      <c r="H27" s="4"/>
      <c r="I27" s="102" t="s">
        <v>19</v>
      </c>
      <c r="J27" s="103">
        <f t="shared" si="5"/>
        <v>2021</v>
      </c>
      <c r="K27" s="104">
        <f t="shared" si="9"/>
        <v>4</v>
      </c>
      <c r="L27" s="105" t="str">
        <f t="shared" si="6"/>
        <v>2021/4</v>
      </c>
      <c r="M27" s="104">
        <f t="shared" si="0"/>
        <v>30</v>
      </c>
      <c r="N27" s="72">
        <f t="shared" si="7"/>
        <v>44316</v>
      </c>
      <c r="O27" s="106" t="str">
        <f t="shared" si="8"/>
        <v>×</v>
      </c>
      <c r="P27" s="107">
        <f t="shared" si="1"/>
        <v>44316</v>
      </c>
      <c r="Q27" s="108">
        <f t="shared" si="2"/>
        <v>30</v>
      </c>
      <c r="R27" s="109">
        <f t="shared" si="3"/>
        <v>382</v>
      </c>
      <c r="S27" s="110">
        <f>IF(SUM(S15:S26)=$C$6,0,IF(R27&gt;$C$6,$C$6-R26,Q27))</f>
        <v>0</v>
      </c>
      <c r="T27" s="110">
        <f>IF(($C$9-SUM($T$15:T26))&gt;S27,S27,($C$9-SUM($T$15:T26)))</f>
        <v>0</v>
      </c>
      <c r="U27" s="111">
        <f t="shared" si="4"/>
        <v>0</v>
      </c>
    </row>
    <row r="28" spans="1:21" ht="13.5" customHeight="1" thickTop="1" thickBot="1">
      <c r="A28" s="4"/>
      <c r="B28" s="140">
        <v>1</v>
      </c>
      <c r="C28" s="35" t="s">
        <v>72</v>
      </c>
      <c r="D28" s="653">
        <v>6820</v>
      </c>
      <c r="F28" s="6">
        <v>1</v>
      </c>
      <c r="G28" s="83" t="s">
        <v>80</v>
      </c>
      <c r="H28" s="4"/>
      <c r="R28" s="20" t="s">
        <v>3</v>
      </c>
      <c r="S28" s="159">
        <f>SUM(S15:S27)</f>
        <v>120</v>
      </c>
      <c r="T28" s="159">
        <f>SUM(T15:T27)</f>
        <v>0</v>
      </c>
      <c r="U28" s="160">
        <f>SUM(U15:U27)</f>
        <v>120</v>
      </c>
    </row>
    <row r="29" spans="1:21" ht="13.5" customHeight="1" thickBot="1">
      <c r="A29" s="4"/>
      <c r="B29" s="140">
        <v>2</v>
      </c>
      <c r="C29" s="35" t="s">
        <v>24</v>
      </c>
      <c r="D29" s="661">
        <v>1570</v>
      </c>
      <c r="F29" s="71">
        <v>2</v>
      </c>
      <c r="G29" s="84" t="s">
        <v>81</v>
      </c>
      <c r="H29" s="4"/>
    </row>
    <row r="30" spans="1:21" ht="13.5" customHeight="1" thickBot="1">
      <c r="A30" s="4"/>
      <c r="B30" s="141">
        <v>3</v>
      </c>
      <c r="C30" s="143" t="s">
        <v>25</v>
      </c>
      <c r="D30" s="662">
        <v>6280</v>
      </c>
      <c r="H30" s="4"/>
      <c r="I30" s="1" t="s">
        <v>61</v>
      </c>
    </row>
    <row r="31" spans="1:21" ht="13.5" customHeight="1" thickBot="1">
      <c r="A31" s="4"/>
      <c r="B31" s="142"/>
      <c r="C31" s="71" t="s">
        <v>96</v>
      </c>
      <c r="D31" s="652">
        <v>10267</v>
      </c>
      <c r="H31" s="4"/>
      <c r="I31" s="144" t="s">
        <v>28</v>
      </c>
      <c r="J31" s="145" t="s">
        <v>55</v>
      </c>
      <c r="K31" s="154" t="s">
        <v>60</v>
      </c>
    </row>
    <row r="32" spans="1:21" ht="13.5" customHeight="1" thickTop="1">
      <c r="A32" s="4"/>
      <c r="H32" s="4"/>
      <c r="I32" s="79">
        <v>1</v>
      </c>
      <c r="J32" s="117" t="s">
        <v>43</v>
      </c>
      <c r="K32" s="118">
        <v>31</v>
      </c>
    </row>
    <row r="33" spans="1:11" ht="13.5" customHeight="1">
      <c r="A33" s="4"/>
      <c r="B33" s="4"/>
      <c r="C33" s="4"/>
      <c r="D33" s="4"/>
      <c r="E33" s="4"/>
      <c r="F33" s="4"/>
      <c r="G33" s="4"/>
      <c r="H33" s="4"/>
      <c r="I33" s="35">
        <v>2</v>
      </c>
      <c r="J33" s="119" t="s">
        <v>44</v>
      </c>
      <c r="K33" s="120">
        <v>28</v>
      </c>
    </row>
    <row r="34" spans="1:11" ht="13.5" customHeight="1">
      <c r="A34" s="4"/>
      <c r="B34" s="1" t="s">
        <v>94</v>
      </c>
      <c r="C34" s="4"/>
      <c r="D34" s="4"/>
      <c r="E34" s="4"/>
      <c r="F34" s="4"/>
      <c r="G34" s="4"/>
      <c r="H34" s="4"/>
      <c r="I34" s="35">
        <v>3</v>
      </c>
      <c r="J34" s="119" t="s">
        <v>45</v>
      </c>
      <c r="K34" s="120">
        <v>31</v>
      </c>
    </row>
    <row r="35" spans="1:11" ht="13.5" customHeight="1" thickBot="1">
      <c r="A35" s="4"/>
      <c r="B35" s="5">
        <v>6</v>
      </c>
      <c r="G35" s="4"/>
      <c r="H35" s="4"/>
      <c r="I35" s="35">
        <v>4</v>
      </c>
      <c r="J35" s="119" t="s">
        <v>46</v>
      </c>
      <c r="K35" s="120">
        <v>30</v>
      </c>
    </row>
    <row r="36" spans="1:11" ht="13.5" customHeight="1" thickBot="1">
      <c r="A36" s="4"/>
      <c r="B36" s="144" t="s">
        <v>28</v>
      </c>
      <c r="C36" s="145" t="s">
        <v>95</v>
      </c>
      <c r="D36" s="153" t="s">
        <v>77</v>
      </c>
      <c r="E36" s="154" t="s">
        <v>78</v>
      </c>
      <c r="F36" s="144" t="s">
        <v>2</v>
      </c>
      <c r="G36" s="144" t="s">
        <v>277</v>
      </c>
      <c r="H36" s="4"/>
      <c r="I36" s="35">
        <v>5</v>
      </c>
      <c r="J36" s="119" t="s">
        <v>47</v>
      </c>
      <c r="K36" s="120">
        <v>31</v>
      </c>
    </row>
    <row r="37" spans="1:11" ht="13.5" customHeight="1" thickTop="1">
      <c r="A37" s="4"/>
      <c r="B37" s="123">
        <v>1</v>
      </c>
      <c r="C37" s="112" t="s">
        <v>279</v>
      </c>
      <c r="D37" s="113">
        <v>0.5</v>
      </c>
      <c r="E37" s="114">
        <f t="shared" ref="E37:E42" si="10">1-D37</f>
        <v>0.5</v>
      </c>
      <c r="F37" s="133">
        <f>【実地研修費_一般企業】</f>
        <v>3360</v>
      </c>
      <c r="G37" s="668">
        <v>104000</v>
      </c>
      <c r="H37" s="4"/>
      <c r="I37" s="35">
        <v>6</v>
      </c>
      <c r="J37" s="119" t="s">
        <v>48</v>
      </c>
      <c r="K37" s="120">
        <v>30</v>
      </c>
    </row>
    <row r="38" spans="1:11" ht="13.5" customHeight="1">
      <c r="A38" s="4"/>
      <c r="B38" s="124">
        <v>2</v>
      </c>
      <c r="C38" s="125" t="s">
        <v>245</v>
      </c>
      <c r="D38" s="126">
        <v>0.33333333333333331</v>
      </c>
      <c r="E38" s="127">
        <f t="shared" si="10"/>
        <v>0.66666666666666674</v>
      </c>
      <c r="F38" s="134">
        <f>【実地研修費_一般企業】</f>
        <v>3360</v>
      </c>
      <c r="G38" s="669">
        <v>104000</v>
      </c>
      <c r="H38" s="4"/>
      <c r="I38" s="35">
        <v>7</v>
      </c>
      <c r="J38" s="119" t="s">
        <v>49</v>
      </c>
      <c r="K38" s="120">
        <v>31</v>
      </c>
    </row>
    <row r="39" spans="1:11" ht="13.5" customHeight="1">
      <c r="A39" s="4"/>
      <c r="B39" s="124">
        <v>3</v>
      </c>
      <c r="C39" s="128" t="s">
        <v>246</v>
      </c>
      <c r="D39" s="126">
        <v>0.66666666666666663</v>
      </c>
      <c r="E39" s="127">
        <f t="shared" si="10"/>
        <v>0.33333333333333337</v>
      </c>
      <c r="F39" s="134">
        <f>【実地研修費_中堅・中小企業】</f>
        <v>5190</v>
      </c>
      <c r="G39" s="669">
        <v>104000</v>
      </c>
      <c r="H39" s="4"/>
      <c r="I39" s="35">
        <v>8</v>
      </c>
      <c r="J39" s="119" t="s">
        <v>50</v>
      </c>
      <c r="K39" s="120">
        <v>31</v>
      </c>
    </row>
    <row r="40" spans="1:11" ht="13.5" customHeight="1">
      <c r="A40" s="4"/>
      <c r="B40" s="129">
        <v>4</v>
      </c>
      <c r="C40" s="130" t="s">
        <v>98</v>
      </c>
      <c r="D40" s="126">
        <v>0.5</v>
      </c>
      <c r="E40" s="127">
        <f t="shared" si="10"/>
        <v>0.5</v>
      </c>
      <c r="F40" s="134">
        <f>【実地研修費_一般企業】</f>
        <v>3360</v>
      </c>
      <c r="G40" s="669">
        <v>122000</v>
      </c>
      <c r="H40" s="4"/>
      <c r="I40" s="35">
        <v>9</v>
      </c>
      <c r="J40" s="119" t="s">
        <v>51</v>
      </c>
      <c r="K40" s="120">
        <v>30</v>
      </c>
    </row>
    <row r="41" spans="1:11" ht="13.5" customHeight="1">
      <c r="A41" s="4"/>
      <c r="B41" s="129">
        <v>5</v>
      </c>
      <c r="C41" s="130" t="s">
        <v>97</v>
      </c>
      <c r="D41" s="126">
        <v>0.33333333333333331</v>
      </c>
      <c r="E41" s="127">
        <f t="shared" si="10"/>
        <v>0.66666666666666674</v>
      </c>
      <c r="F41" s="134">
        <f>【実地研修費_一般企業】</f>
        <v>3360</v>
      </c>
      <c r="G41" s="669">
        <v>122000</v>
      </c>
      <c r="H41" s="4"/>
      <c r="I41" s="35">
        <v>10</v>
      </c>
      <c r="J41" s="119" t="s">
        <v>52</v>
      </c>
      <c r="K41" s="120">
        <v>31</v>
      </c>
    </row>
    <row r="42" spans="1:11" ht="13.5" customHeight="1" thickBot="1">
      <c r="A42" s="4"/>
      <c r="B42" s="131">
        <v>6</v>
      </c>
      <c r="C42" s="132" t="s">
        <v>93</v>
      </c>
      <c r="D42" s="115">
        <v>0.66666666666666663</v>
      </c>
      <c r="E42" s="116">
        <f t="shared" si="10"/>
        <v>0.33333333333333337</v>
      </c>
      <c r="F42" s="135">
        <f>【実地研修費_中堅・中小企業】</f>
        <v>5190</v>
      </c>
      <c r="G42" s="670">
        <v>122000</v>
      </c>
      <c r="H42" s="4"/>
      <c r="I42" s="35">
        <v>11</v>
      </c>
      <c r="J42" s="119" t="s">
        <v>53</v>
      </c>
      <c r="K42" s="120">
        <v>30</v>
      </c>
    </row>
    <row r="43" spans="1:11" ht="13.5" customHeight="1" thickBot="1">
      <c r="A43" s="4"/>
      <c r="E43" s="4"/>
      <c r="F43" s="4"/>
      <c r="G43" s="4"/>
      <c r="H43" s="4"/>
      <c r="I43" s="71">
        <v>12</v>
      </c>
      <c r="J43" s="121" t="s">
        <v>54</v>
      </c>
      <c r="K43" s="122">
        <v>31</v>
      </c>
    </row>
    <row r="44" spans="1:11" ht="13.5" customHeight="1">
      <c r="A44" s="4"/>
      <c r="E44" s="4"/>
      <c r="F44" s="4"/>
      <c r="G44" s="4"/>
      <c r="H44" s="4"/>
    </row>
    <row r="45" spans="1:11" ht="13.5" customHeight="1" thickBot="1">
      <c r="A45" s="4"/>
      <c r="B45" s="1" t="s">
        <v>37</v>
      </c>
      <c r="H45" s="4"/>
    </row>
    <row r="46" spans="1:11" ht="13.5" customHeight="1" thickBot="1">
      <c r="A46" s="4"/>
      <c r="B46" s="866" t="s">
        <v>28</v>
      </c>
      <c r="C46" s="868" t="s">
        <v>33</v>
      </c>
      <c r="D46" s="868" t="s">
        <v>29</v>
      </c>
      <c r="E46" s="868" t="s">
        <v>30</v>
      </c>
      <c r="F46" s="868" t="s">
        <v>31</v>
      </c>
      <c r="G46" s="864" t="s">
        <v>41</v>
      </c>
      <c r="I46" s="1" t="s">
        <v>186</v>
      </c>
    </row>
    <row r="47" spans="1:11" ht="13.5" customHeight="1" thickBot="1">
      <c r="A47" s="4"/>
      <c r="B47" s="867"/>
      <c r="C47" s="869"/>
      <c r="D47" s="869"/>
      <c r="E47" s="869"/>
      <c r="F47" s="869"/>
      <c r="G47" s="865"/>
      <c r="I47" s="163" t="s">
        <v>187</v>
      </c>
      <c r="J47" s="164" t="s">
        <v>187</v>
      </c>
      <c r="K47" s="165" t="s">
        <v>185</v>
      </c>
    </row>
    <row r="48" spans="1:11" ht="13.5" customHeight="1" thickTop="1">
      <c r="A48" s="4"/>
      <c r="B48" s="42"/>
      <c r="C48" s="43"/>
      <c r="D48" s="44"/>
      <c r="E48" s="45"/>
      <c r="F48" s="46"/>
      <c r="G48" s="47"/>
      <c r="H48" s="166"/>
      <c r="I48" s="167" t="str">
        <f>IF(C11="","",MONTH($C$11))</f>
        <v/>
      </c>
      <c r="J48" s="168" t="str">
        <f>IF(I48="","",MATCH(I48,$K$15:$K$27,0)&amp;"ヶ月目")</f>
        <v/>
      </c>
      <c r="K48" s="169" t="str">
        <f>IF(I48="","",IF(I49="",2,1))</f>
        <v/>
      </c>
    </row>
    <row r="49" spans="1:11" ht="13.5" customHeight="1" thickBot="1">
      <c r="A49" s="4"/>
      <c r="B49" s="48"/>
      <c r="C49" s="49"/>
      <c r="D49" s="50"/>
      <c r="E49" s="51"/>
      <c r="F49" s="52"/>
      <c r="G49" s="53"/>
      <c r="H49" s="166"/>
      <c r="I49" s="170" t="str">
        <f>IF(I48="","",IF(MONTH($C$11)=MONTH($D$11),"",MONTH($D$11)))</f>
        <v/>
      </c>
      <c r="J49" s="172" t="str">
        <f>IF(I49="","",MATCH(I49,$K$15:$K$27,0)&amp;"ヶ月目")</f>
        <v/>
      </c>
      <c r="K49" s="171" t="str">
        <f>IF(I49="","",1)</f>
        <v/>
      </c>
    </row>
    <row r="50" spans="1:11" ht="13.5" customHeight="1">
      <c r="A50" s="4"/>
      <c r="B50" s="48"/>
      <c r="C50" s="49"/>
      <c r="D50" s="50"/>
      <c r="E50" s="51"/>
      <c r="F50" s="52"/>
      <c r="G50" s="53"/>
      <c r="H50" s="166"/>
    </row>
    <row r="51" spans="1:11" ht="13.5" customHeight="1">
      <c r="A51" s="4"/>
      <c r="B51" s="48"/>
      <c r="C51" s="49"/>
      <c r="D51" s="50"/>
      <c r="E51" s="51"/>
      <c r="F51" s="52"/>
      <c r="G51" s="53"/>
      <c r="H51" s="166"/>
    </row>
    <row r="52" spans="1:11" ht="13.5" customHeight="1">
      <c r="A52" s="4"/>
      <c r="B52" s="48"/>
      <c r="C52" s="49"/>
      <c r="D52" s="50"/>
      <c r="E52" s="51"/>
      <c r="F52" s="52"/>
      <c r="G52" s="53"/>
      <c r="H52" s="166"/>
    </row>
    <row r="53" spans="1:11" ht="13.5" customHeight="1">
      <c r="A53" s="4"/>
      <c r="B53" s="54"/>
      <c r="C53" s="55"/>
      <c r="D53" s="56"/>
      <c r="E53" s="57"/>
      <c r="F53" s="58"/>
      <c r="G53" s="59"/>
      <c r="H53" s="166"/>
    </row>
    <row r="54" spans="1:11" ht="13.5" customHeight="1">
      <c r="A54" s="4"/>
      <c r="B54" s="48"/>
      <c r="C54" s="49"/>
      <c r="D54" s="50"/>
      <c r="E54" s="51"/>
      <c r="F54" s="52"/>
      <c r="G54" s="53"/>
      <c r="H54" s="166"/>
    </row>
    <row r="55" spans="1:11" ht="13.5" customHeight="1">
      <c r="A55" s="4"/>
      <c r="B55" s="54"/>
      <c r="C55" s="58"/>
      <c r="D55" s="57"/>
      <c r="E55" s="57"/>
      <c r="F55" s="58"/>
      <c r="G55" s="59"/>
      <c r="H55" s="166"/>
      <c r="I55" s="4"/>
      <c r="J55" s="4"/>
    </row>
    <row r="56" spans="1:11" ht="13.5" customHeight="1">
      <c r="A56" s="4"/>
      <c r="B56" s="48"/>
      <c r="C56" s="58"/>
      <c r="D56" s="57"/>
      <c r="E56" s="57"/>
      <c r="F56" s="58"/>
      <c r="G56" s="59"/>
      <c r="H56" s="166"/>
      <c r="I56" s="4"/>
      <c r="J56" s="4"/>
    </row>
    <row r="57" spans="1:11" ht="13.5" customHeight="1">
      <c r="A57" s="4"/>
      <c r="B57" s="54"/>
      <c r="C57" s="58"/>
      <c r="D57" s="57"/>
      <c r="E57" s="57"/>
      <c r="F57" s="58"/>
      <c r="G57" s="59"/>
      <c r="H57" s="166"/>
      <c r="I57" s="4"/>
      <c r="J57" s="4"/>
    </row>
    <row r="58" spans="1:11" ht="13.5" customHeight="1" thickBot="1">
      <c r="A58" s="4"/>
      <c r="B58" s="60"/>
      <c r="C58" s="62"/>
      <c r="D58" s="61"/>
      <c r="E58" s="61"/>
      <c r="F58" s="62"/>
      <c r="G58" s="63"/>
      <c r="H58" s="166"/>
      <c r="I58" s="4"/>
      <c r="J58" s="4"/>
    </row>
    <row r="59" spans="1:11" ht="13.5" customHeight="1">
      <c r="A59" s="4"/>
      <c r="H59" s="162"/>
      <c r="I59" s="4"/>
      <c r="J59" s="4"/>
    </row>
    <row r="60" spans="1:11" ht="13.5" customHeight="1">
      <c r="A60" s="4"/>
      <c r="H60" s="161"/>
      <c r="I60" s="4"/>
      <c r="J60" s="4"/>
    </row>
    <row r="61" spans="1:11" ht="13.5" customHeight="1">
      <c r="A61" s="4"/>
      <c r="H61" s="161"/>
      <c r="I61" s="4"/>
      <c r="J61" s="4"/>
    </row>
    <row r="62" spans="1:11" ht="13.5" customHeight="1">
      <c r="A62" s="4"/>
      <c r="B62" s="4"/>
      <c r="C62" s="4"/>
      <c r="D62" s="4"/>
      <c r="E62" s="4"/>
      <c r="F62" s="4"/>
      <c r="G62" s="4"/>
      <c r="H62" s="161"/>
      <c r="I62" s="4"/>
      <c r="J62" s="4"/>
    </row>
    <row r="63" spans="1:11" ht="13.5" customHeight="1">
      <c r="A63" s="4"/>
      <c r="B63" s="4"/>
      <c r="C63" s="4"/>
      <c r="D63" s="4"/>
      <c r="E63" s="4"/>
      <c r="F63" s="4"/>
      <c r="G63" s="4"/>
      <c r="H63" s="161"/>
      <c r="I63" s="4"/>
      <c r="J63" s="4"/>
    </row>
    <row r="64" spans="1:11" ht="13.5" customHeight="1">
      <c r="A64" s="4"/>
      <c r="B64" s="4"/>
      <c r="C64" s="4"/>
      <c r="D64" s="4"/>
      <c r="E64" s="4"/>
      <c r="F64" s="4"/>
      <c r="G64" s="4"/>
      <c r="H64" s="161"/>
      <c r="I64" s="4"/>
      <c r="J64" s="4"/>
    </row>
    <row r="65" spans="1:10" ht="13.5" customHeight="1">
      <c r="A65" s="4"/>
      <c r="B65" s="4"/>
      <c r="C65" s="4"/>
      <c r="D65" s="4"/>
      <c r="E65" s="4"/>
      <c r="F65" s="4"/>
      <c r="G65" s="4"/>
      <c r="H65" s="161"/>
      <c r="I65" s="4"/>
      <c r="J65" s="4"/>
    </row>
    <row r="66" spans="1:10" ht="13.5" customHeight="1">
      <c r="A66" s="4"/>
      <c r="B66" s="4"/>
      <c r="C66" s="4"/>
      <c r="D66" s="4"/>
      <c r="E66" s="4"/>
      <c r="F66" s="4"/>
      <c r="G66" s="4"/>
      <c r="H66" s="161"/>
      <c r="I66" s="4"/>
      <c r="J66" s="4"/>
    </row>
    <row r="67" spans="1:10" ht="13.5" customHeight="1">
      <c r="A67" s="4"/>
      <c r="B67" s="4"/>
      <c r="C67" s="4"/>
      <c r="D67" s="4"/>
      <c r="E67" s="4"/>
      <c r="F67" s="4"/>
      <c r="G67" s="4"/>
      <c r="H67" s="161"/>
      <c r="I67" s="4"/>
      <c r="J67" s="4"/>
    </row>
    <row r="68" spans="1:10" ht="13.5" customHeight="1">
      <c r="A68" s="4"/>
      <c r="B68" s="4"/>
      <c r="C68" s="4"/>
      <c r="D68" s="4"/>
      <c r="E68" s="4"/>
      <c r="F68" s="4"/>
      <c r="G68" s="4"/>
      <c r="H68" s="161"/>
      <c r="I68" s="4"/>
      <c r="J68" s="4"/>
    </row>
    <row r="69" spans="1:10" ht="13.5" customHeight="1">
      <c r="A69" s="4"/>
      <c r="B69" s="4"/>
      <c r="C69" s="4"/>
      <c r="D69" s="4"/>
      <c r="E69" s="4"/>
      <c r="F69" s="4"/>
      <c r="G69" s="4"/>
      <c r="H69" s="161"/>
      <c r="I69" s="4"/>
      <c r="J69" s="4"/>
    </row>
    <row r="70" spans="1:10" ht="13.5" customHeight="1">
      <c r="A70" s="4"/>
      <c r="B70" s="4"/>
      <c r="C70" s="4"/>
      <c r="D70" s="4"/>
      <c r="E70" s="4"/>
      <c r="F70" s="4"/>
      <c r="G70" s="4"/>
      <c r="H70" s="161"/>
      <c r="I70" s="4"/>
      <c r="J70" s="4"/>
    </row>
    <row r="71" spans="1:10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3.5" customHeight="1">
      <c r="A85" s="4"/>
      <c r="B85" s="4"/>
      <c r="C85" s="4"/>
      <c r="D85" s="4"/>
      <c r="E85" s="4"/>
      <c r="F85" s="4"/>
      <c r="G85" s="4"/>
      <c r="H85" s="4"/>
      <c r="I85" s="4"/>
    </row>
    <row r="86" spans="1:10" ht="13.5" customHeight="1">
      <c r="A86" s="4"/>
      <c r="B86" s="4"/>
      <c r="C86" s="4"/>
      <c r="D86" s="4"/>
      <c r="E86" s="4"/>
      <c r="F86" s="4"/>
      <c r="G86" s="4"/>
      <c r="H86" s="4"/>
      <c r="I86" s="4"/>
    </row>
    <row r="87" spans="1:10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3.5" customHeight="1">
      <c r="A131" s="4"/>
      <c r="B131" s="4"/>
      <c r="C131" s="4"/>
      <c r="D131" s="4"/>
      <c r="E131" s="4"/>
      <c r="F131" s="4"/>
      <c r="G131" s="4"/>
      <c r="H131" s="4"/>
      <c r="I131" s="4"/>
    </row>
    <row r="132" spans="1:10" ht="13.5" customHeight="1">
      <c r="A132" s="4"/>
      <c r="B132" s="4"/>
      <c r="C132" s="4"/>
      <c r="D132" s="4"/>
      <c r="E132" s="4"/>
      <c r="F132" s="4"/>
      <c r="G132" s="4"/>
      <c r="H132" s="4"/>
      <c r="I132" s="4"/>
    </row>
    <row r="133" spans="1:10" ht="13.5" customHeight="1">
      <c r="A133" s="4"/>
      <c r="B133" s="4"/>
      <c r="C133" s="4"/>
      <c r="D133" s="4"/>
      <c r="E133" s="4"/>
      <c r="F133" s="4"/>
      <c r="G133" s="4"/>
      <c r="H133" s="4"/>
      <c r="I133" s="4"/>
    </row>
    <row r="134" spans="1:10" ht="13.5" customHeight="1">
      <c r="A134" s="4"/>
      <c r="B134" s="4"/>
      <c r="C134" s="4"/>
      <c r="D134" s="4"/>
      <c r="E134" s="4"/>
      <c r="F134" s="4"/>
      <c r="G134" s="4"/>
      <c r="H134" s="4"/>
      <c r="I134" s="4"/>
    </row>
    <row r="135" spans="1:10" ht="13.5" customHeight="1">
      <c r="A135" s="4"/>
      <c r="B135" s="4"/>
      <c r="C135" s="4"/>
      <c r="D135" s="4"/>
      <c r="E135" s="4"/>
      <c r="F135" s="4"/>
      <c r="G135" s="4"/>
      <c r="H135" s="4"/>
      <c r="I135" s="4"/>
    </row>
    <row r="136" spans="1:10" ht="13.5" customHeight="1">
      <c r="A136" s="4"/>
      <c r="B136" s="4"/>
      <c r="C136" s="4"/>
      <c r="D136" s="4"/>
      <c r="E136" s="4"/>
      <c r="F136" s="4"/>
      <c r="G136" s="4"/>
      <c r="H136" s="4"/>
      <c r="I136" s="4"/>
    </row>
    <row r="137" spans="1:10" ht="13.5" customHeight="1">
      <c r="A137" s="4"/>
      <c r="B137" s="4"/>
      <c r="C137" s="4"/>
      <c r="D137" s="4"/>
      <c r="E137" s="4"/>
      <c r="F137" s="4"/>
      <c r="G137" s="4"/>
      <c r="H137" s="4"/>
      <c r="I137" s="4"/>
    </row>
    <row r="138" spans="1:10" ht="13.5" customHeight="1">
      <c r="A138" s="4"/>
      <c r="B138" s="4"/>
      <c r="C138" s="4"/>
      <c r="D138" s="4"/>
      <c r="E138" s="4"/>
      <c r="F138" s="4"/>
      <c r="G138" s="4"/>
      <c r="H138" s="4"/>
      <c r="I138" s="4"/>
    </row>
    <row r="139" spans="1:10" ht="13.5" customHeight="1">
      <c r="A139" s="4"/>
      <c r="B139" s="4"/>
      <c r="C139" s="4"/>
      <c r="D139" s="4"/>
      <c r="E139" s="4"/>
      <c r="F139" s="4"/>
      <c r="G139" s="4"/>
      <c r="H139" s="4"/>
      <c r="I139" s="4"/>
    </row>
    <row r="140" spans="1:10" ht="13.5" customHeight="1">
      <c r="A140" s="4"/>
      <c r="B140" s="4"/>
      <c r="C140" s="4"/>
      <c r="D140" s="4"/>
      <c r="E140" s="4"/>
      <c r="F140" s="4"/>
      <c r="G140" s="4"/>
      <c r="H140" s="4"/>
      <c r="I140" s="4"/>
    </row>
    <row r="141" spans="1:10" ht="13.5" customHeight="1">
      <c r="A141" s="4"/>
      <c r="B141" s="4"/>
      <c r="C141" s="4"/>
      <c r="D141" s="4"/>
      <c r="E141" s="4"/>
      <c r="F141" s="4"/>
      <c r="G141" s="4"/>
      <c r="H141" s="4"/>
      <c r="I141" s="4"/>
    </row>
    <row r="142" spans="1:10" ht="13.5" customHeight="1">
      <c r="A142" s="4"/>
      <c r="B142" s="4"/>
      <c r="C142" s="4"/>
      <c r="D142" s="4"/>
      <c r="E142" s="4"/>
      <c r="F142" s="4"/>
      <c r="G142" s="4"/>
      <c r="H142" s="4"/>
      <c r="I142" s="4"/>
    </row>
    <row r="143" spans="1:10" ht="13.5" customHeight="1">
      <c r="A143" s="4"/>
      <c r="B143" s="4"/>
      <c r="C143" s="4"/>
      <c r="D143" s="4"/>
      <c r="E143" s="4"/>
      <c r="F143" s="4"/>
      <c r="G143" s="4"/>
      <c r="H143" s="4"/>
      <c r="I143" s="4"/>
    </row>
    <row r="144" spans="1:10" ht="13.5" customHeight="1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3.5" customHeight="1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3.5" customHeight="1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3.5" customHeight="1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3.5" customHeight="1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3.5" customHeight="1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3.5" customHeight="1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3.5" customHeight="1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3.5" customHeight="1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3.5" customHeight="1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3.5" customHeight="1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3.5" customHeight="1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3.5" customHeight="1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3.5" customHeight="1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3.5" customHeight="1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3.5" customHeight="1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3.5" customHeight="1">
      <c r="A160" s="4"/>
      <c r="B160" s="4"/>
      <c r="C160" s="4"/>
      <c r="D160" s="4"/>
      <c r="E160" s="4"/>
      <c r="F160" s="4"/>
      <c r="G160" s="4"/>
      <c r="H160" s="4"/>
      <c r="I160"/>
    </row>
    <row r="161" spans="1:9" ht="13.5" customHeight="1">
      <c r="A161" s="4"/>
      <c r="B161" s="4"/>
      <c r="C161" s="4"/>
      <c r="D161" s="4"/>
      <c r="E161" s="4"/>
      <c r="F161" s="4"/>
      <c r="G161" s="4"/>
      <c r="H161" s="4"/>
      <c r="I161"/>
    </row>
    <row r="162" spans="1:9" ht="13.5" customHeight="1">
      <c r="A162" s="4"/>
      <c r="B162" s="4"/>
      <c r="C162" s="4"/>
      <c r="D162" s="4"/>
      <c r="E162" s="4"/>
      <c r="F162" s="4"/>
      <c r="G162" s="4"/>
      <c r="H162" s="4"/>
      <c r="I162"/>
    </row>
    <row r="163" spans="1:9" ht="13.5" customHeight="1">
      <c r="A163" s="4"/>
      <c r="B163" s="4"/>
      <c r="C163" s="4"/>
      <c r="D163" s="4"/>
      <c r="E163" s="4"/>
      <c r="F163" s="4"/>
      <c r="G163" s="4"/>
      <c r="H163" s="4"/>
      <c r="I163"/>
    </row>
    <row r="164" spans="1:9" ht="13.5" customHeight="1">
      <c r="A164" s="4"/>
      <c r="B164" s="4"/>
      <c r="C164" s="4"/>
      <c r="D164" s="4"/>
      <c r="E164" s="4"/>
      <c r="F164" s="4"/>
      <c r="G164" s="4"/>
      <c r="H164" s="4"/>
      <c r="I164"/>
    </row>
    <row r="165" spans="1:9" ht="13.5" customHeight="1">
      <c r="A165" s="4"/>
      <c r="B165" s="4"/>
      <c r="C165" s="4"/>
      <c r="D165" s="4"/>
      <c r="E165" s="4"/>
      <c r="F165" s="4"/>
      <c r="G165" s="4"/>
      <c r="H165" s="4"/>
      <c r="I165"/>
    </row>
    <row r="166" spans="1:9" ht="13.5" customHeight="1">
      <c r="A166" s="4"/>
      <c r="B166" s="4"/>
      <c r="C166" s="4"/>
      <c r="D166" s="4"/>
      <c r="E166" s="4"/>
      <c r="F166" s="4"/>
      <c r="G166" s="4"/>
      <c r="H166" s="4"/>
      <c r="I166"/>
    </row>
    <row r="167" spans="1:9" ht="13.5" customHeight="1">
      <c r="A167" s="4"/>
      <c r="B167" s="4"/>
      <c r="C167" s="4"/>
      <c r="D167" s="4"/>
      <c r="E167" s="4"/>
      <c r="F167" s="4"/>
      <c r="G167" s="4"/>
      <c r="H167" s="4"/>
    </row>
    <row r="168" spans="1:9" ht="13.5" customHeight="1">
      <c r="A168" s="4"/>
      <c r="B168" s="4"/>
      <c r="C168" s="4"/>
      <c r="D168" s="4"/>
      <c r="E168" s="4"/>
      <c r="F168" s="4"/>
      <c r="G168" s="4"/>
      <c r="H168" s="4"/>
    </row>
    <row r="169" spans="1:9" ht="13.5" customHeight="1">
      <c r="A169" s="4"/>
      <c r="B169" s="34"/>
      <c r="C169" s="33"/>
      <c r="D169" s="33"/>
      <c r="E169" s="33"/>
      <c r="F169" s="33"/>
      <c r="G169" s="33"/>
      <c r="H169" s="33"/>
    </row>
    <row r="170" spans="1:9" ht="13.5" customHeight="1">
      <c r="A170" s="4"/>
      <c r="B170" s="34"/>
      <c r="C170" s="33"/>
      <c r="D170" s="33"/>
      <c r="E170" s="33"/>
      <c r="F170" s="33"/>
      <c r="G170" s="33"/>
      <c r="H170" s="33"/>
    </row>
    <row r="171" spans="1:9" ht="13.5" customHeight="1">
      <c r="B171" s="34"/>
      <c r="C171" s="33"/>
      <c r="D171" s="33"/>
      <c r="E171" s="33"/>
      <c r="F171" s="33"/>
      <c r="G171" s="33"/>
      <c r="H171" s="33"/>
    </row>
    <row r="172" spans="1:9" ht="13.5" customHeight="1">
      <c r="B172" s="34"/>
      <c r="C172" s="33"/>
      <c r="D172" s="33"/>
      <c r="E172" s="33"/>
      <c r="F172" s="33"/>
      <c r="G172" s="33"/>
      <c r="H172" s="33"/>
    </row>
    <row r="173" spans="1:9" ht="13.5" customHeight="1">
      <c r="B173" s="34"/>
      <c r="C173" s="33"/>
      <c r="D173" s="33"/>
      <c r="E173" s="33"/>
      <c r="F173" s="33"/>
      <c r="G173" s="33"/>
      <c r="H173" s="33"/>
    </row>
    <row r="174" spans="1:9" ht="13.5" customHeight="1">
      <c r="B174" s="34"/>
      <c r="C174" s="33"/>
      <c r="D174" s="33"/>
      <c r="E174" s="33"/>
      <c r="F174" s="33"/>
      <c r="G174" s="33"/>
      <c r="H174" s="33"/>
    </row>
    <row r="175" spans="1:9" ht="13.5" customHeight="1">
      <c r="B175" s="34"/>
      <c r="C175" s="33"/>
      <c r="D175" s="33"/>
      <c r="E175" s="33"/>
      <c r="F175" s="33"/>
      <c r="G175" s="33"/>
      <c r="H175" s="33"/>
    </row>
    <row r="176" spans="1:9" ht="13.5" customHeight="1">
      <c r="B176" s="34"/>
      <c r="C176" s="33"/>
      <c r="D176" s="33"/>
      <c r="E176" s="33"/>
      <c r="F176" s="33"/>
      <c r="G176" s="33"/>
      <c r="H176" s="33"/>
    </row>
    <row r="177" spans="2:8" ht="13.5" customHeight="1">
      <c r="B177" s="32"/>
      <c r="C177" s="32"/>
      <c r="D177" s="32"/>
      <c r="E177" s="32"/>
      <c r="F177" s="32"/>
      <c r="G177" s="32"/>
      <c r="H177" s="32"/>
    </row>
    <row r="178" spans="2:8" ht="13.5" customHeight="1">
      <c r="B178" s="32"/>
      <c r="C178" s="32"/>
      <c r="D178" s="32"/>
      <c r="E178" s="32"/>
      <c r="F178" s="32"/>
      <c r="G178" s="32"/>
      <c r="H178" s="32"/>
    </row>
    <row r="179" spans="2:8" ht="13.5" customHeight="1">
      <c r="B179" s="32"/>
      <c r="C179" s="32"/>
      <c r="D179" s="32"/>
      <c r="E179" s="32"/>
      <c r="F179" s="32"/>
      <c r="G179" s="32"/>
      <c r="H179" s="32"/>
    </row>
    <row r="180" spans="2:8" ht="13.5" customHeight="1">
      <c r="B180" s="32"/>
      <c r="C180" s="32"/>
      <c r="D180" s="32"/>
      <c r="E180" s="32"/>
      <c r="F180" s="32"/>
      <c r="G180" s="32"/>
      <c r="H180" s="32"/>
    </row>
    <row r="181" spans="2:8" ht="13.5" customHeight="1">
      <c r="B181" s="32"/>
      <c r="C181" s="32"/>
      <c r="D181" s="32"/>
      <c r="E181" s="32"/>
      <c r="F181" s="32"/>
      <c r="G181" s="32"/>
      <c r="H181" s="32"/>
    </row>
    <row r="182" spans="2:8" ht="13.5" customHeight="1">
      <c r="B182" s="32"/>
      <c r="C182" s="32"/>
      <c r="D182" s="32"/>
      <c r="E182" s="32"/>
      <c r="F182" s="32"/>
      <c r="G182" s="32"/>
      <c r="H182" s="32"/>
    </row>
    <row r="183" spans="2:8" ht="13.5" customHeight="1">
      <c r="B183" s="32"/>
      <c r="C183" s="32"/>
      <c r="D183" s="32"/>
      <c r="E183" s="32"/>
      <c r="F183" s="32"/>
      <c r="G183" s="32"/>
      <c r="H183" s="32"/>
    </row>
    <row r="184" spans="2:8" ht="13.5" customHeight="1">
      <c r="B184" s="32"/>
      <c r="C184" s="32"/>
      <c r="D184" s="32"/>
      <c r="E184" s="32"/>
      <c r="F184" s="32"/>
      <c r="G184" s="32"/>
      <c r="H184" s="32"/>
    </row>
    <row r="185" spans="2:8" ht="13.5" customHeight="1">
      <c r="B185" s="32"/>
      <c r="C185" s="32"/>
      <c r="D185" s="32"/>
      <c r="E185" s="32"/>
      <c r="F185" s="32"/>
      <c r="G185" s="32"/>
      <c r="H185" s="32"/>
    </row>
    <row r="186" spans="2:8" ht="13.5" customHeight="1">
      <c r="B186" s="32"/>
      <c r="C186" s="32"/>
      <c r="D186" s="32"/>
      <c r="E186" s="32"/>
      <c r="F186" s="32"/>
      <c r="G186" s="32"/>
      <c r="H186" s="32"/>
    </row>
    <row r="187" spans="2:8" ht="13.5" customHeight="1">
      <c r="B187" s="32"/>
      <c r="C187" s="32"/>
      <c r="D187" s="32"/>
      <c r="E187" s="32"/>
      <c r="F187" s="32"/>
      <c r="G187" s="32"/>
      <c r="H187" s="32"/>
    </row>
    <row r="188" spans="2:8" ht="13.5" customHeight="1">
      <c r="B188" s="32"/>
      <c r="C188" s="32"/>
      <c r="D188" s="32"/>
      <c r="E188" s="32"/>
      <c r="F188" s="32"/>
      <c r="G188" s="32"/>
      <c r="H188" s="32"/>
    </row>
    <row r="189" spans="2:8" ht="13.5" customHeight="1">
      <c r="B189" s="32"/>
      <c r="C189" s="32"/>
      <c r="D189" s="32"/>
      <c r="E189" s="32"/>
      <c r="F189" s="32"/>
      <c r="G189" s="32"/>
      <c r="H189" s="32"/>
    </row>
    <row r="190" spans="2:8" ht="13.5" customHeight="1">
      <c r="B190" s="32"/>
      <c r="C190" s="32"/>
      <c r="D190" s="32"/>
      <c r="E190" s="32"/>
      <c r="F190" s="32"/>
      <c r="G190" s="32"/>
      <c r="H190" s="32"/>
    </row>
    <row r="191" spans="2:8" ht="13.5" customHeight="1">
      <c r="B191" s="32"/>
      <c r="C191" s="32"/>
      <c r="D191" s="32"/>
      <c r="E191" s="32"/>
      <c r="F191" s="32"/>
      <c r="G191" s="32"/>
      <c r="H191" s="32"/>
    </row>
    <row r="192" spans="2:8" ht="13.5" customHeight="1">
      <c r="B192" s="32"/>
      <c r="C192" s="32"/>
      <c r="D192" s="32"/>
      <c r="E192" s="32"/>
      <c r="F192" s="32"/>
      <c r="G192" s="32"/>
      <c r="H192" s="32"/>
    </row>
    <row r="193" spans="2:8" ht="13.5" customHeight="1">
      <c r="B193" s="32"/>
      <c r="C193" s="32"/>
      <c r="D193" s="32"/>
      <c r="E193" s="32"/>
      <c r="F193" s="32"/>
      <c r="G193" s="32"/>
      <c r="H193" s="32"/>
    </row>
    <row r="194" spans="2:8" ht="13.5" customHeight="1">
      <c r="B194" s="32"/>
      <c r="C194" s="32"/>
      <c r="D194" s="32"/>
      <c r="E194" s="32"/>
      <c r="F194" s="32"/>
      <c r="G194" s="32"/>
      <c r="H194" s="32"/>
    </row>
    <row r="195" spans="2:8" ht="13.5" customHeight="1">
      <c r="B195" s="32"/>
      <c r="C195" s="32"/>
      <c r="D195" s="32"/>
      <c r="E195" s="32"/>
      <c r="F195" s="32"/>
      <c r="G195" s="32"/>
      <c r="H195" s="32"/>
    </row>
  </sheetData>
  <sheetProtection formatCells="0"/>
  <mergeCells count="24">
    <mergeCell ref="S12:S14"/>
    <mergeCell ref="T12:T14"/>
    <mergeCell ref="U12:U14"/>
    <mergeCell ref="D4:E4"/>
    <mergeCell ref="L4:M4"/>
    <mergeCell ref="P4:Q4"/>
    <mergeCell ref="I8:J8"/>
    <mergeCell ref="O4:O5"/>
    <mergeCell ref="N12:N14"/>
    <mergeCell ref="O12:O14"/>
    <mergeCell ref="P12:P14"/>
    <mergeCell ref="Q12:Q14"/>
    <mergeCell ref="R12:R14"/>
    <mergeCell ref="I12:I14"/>
    <mergeCell ref="J12:J14"/>
    <mergeCell ref="K12:K14"/>
    <mergeCell ref="L12:L14"/>
    <mergeCell ref="M12:M14"/>
    <mergeCell ref="G46:G47"/>
    <mergeCell ref="B46:B47"/>
    <mergeCell ref="C46:C47"/>
    <mergeCell ref="D46:D47"/>
    <mergeCell ref="E46:E47"/>
    <mergeCell ref="F46:F47"/>
  </mergeCells>
  <phoneticPr fontId="2"/>
  <dataValidations disablePrompts="1" count="1">
    <dataValidation imeMode="off" allowBlank="1" showInputMessage="1" showErrorMessage="1" sqref="D48:E58"/>
  </dataValidations>
  <pageMargins left="0.75" right="0.75" top="1" bottom="1" header="0.51200000000000001" footer="0.51200000000000001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20</vt:i4>
      </vt:variant>
    </vt:vector>
  </HeadingPairs>
  <TitlesOfParts>
    <vt:vector size="23" baseType="lpstr">
      <vt:lpstr>コース不参加費用試算</vt:lpstr>
      <vt:lpstr>コース不参加月別受入費明細</vt:lpstr>
      <vt:lpstr>計算シート</vt:lpstr>
      <vt:lpstr>【月別標準日数】</vt:lpstr>
      <vt:lpstr>【研修申込区分】</vt:lpstr>
      <vt:lpstr>【研修申込区分別費用】</vt:lpstr>
      <vt:lpstr>【研修日数】</vt:lpstr>
      <vt:lpstr>【研修旅行】</vt:lpstr>
      <vt:lpstr>【国内移動費】</vt:lpstr>
      <vt:lpstr>【雑費】</vt:lpstr>
      <vt:lpstr>【実地研修中の宿泊】</vt:lpstr>
      <vt:lpstr>【実地研修費_一般企業】</vt:lpstr>
      <vt:lpstr>【実地研修費_中堅・中小企業】</vt:lpstr>
      <vt:lpstr>【宿舎費_会社施設】</vt:lpstr>
      <vt:lpstr>【宿舎費_外部宿舎】</vt:lpstr>
      <vt:lpstr>【宿舎費_研修センター】</vt:lpstr>
      <vt:lpstr>【宿舎費_研修旅行中】</vt:lpstr>
      <vt:lpstr>【食費_昼食】</vt:lpstr>
      <vt:lpstr>【食費_朝食】</vt:lpstr>
      <vt:lpstr>【食費_夕食】</vt:lpstr>
      <vt:lpstr>【日程表】</vt:lpstr>
      <vt:lpstr>【日程表項番】</vt:lpstr>
      <vt:lpstr>コース不参加月別受入費明細!Print_Area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2020-07-07T00:24:01Z</dcterms:created>
  <dcterms:modified xsi:type="dcterms:W3CDTF">2020-07-07T00:24:18Z</dcterms:modified>
</cp:coreProperties>
</file>