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tsrfl011\04.研修・派遣業務G\410 書式\受入研修\2025年度\001 試算表\"/>
    </mc:Choice>
  </mc:AlternateContent>
  <xr:revisionPtr revIDLastSave="0" documentId="13_ncr:1_{A15E2FB3-2CA6-4A15-ADBD-BE5FCABADA2B}" xr6:coauthVersionLast="47" xr6:coauthVersionMax="47" xr10:uidLastSave="{00000000-0000-0000-0000-000000000000}"/>
  <workbookProtection lockStructure="1"/>
  <bookViews>
    <workbookView xWindow="-120" yWindow="-120" windowWidth="19440" windowHeight="15000" xr2:uid="{00000000-000D-0000-FFFF-FFFF00000000}"/>
  </bookViews>
  <sheets>
    <sheet name="J13W費用試算" sheetId="2" r:id="rId1"/>
    <sheet name="J13W月別受入費明細" sheetId="8" r:id="rId2"/>
    <sheet name="J13W計算シート" sheetId="7" state="hidden" r:id="rId3"/>
  </sheets>
  <definedNames>
    <definedName name="【海外旅行保険】">J13W計算シート!$S$34:$U$74</definedName>
    <definedName name="【月別標準日数】" comment="セル範囲">J13W計算シート!$K$32:$M$43</definedName>
    <definedName name="【研修申込区分】" comment="試算条件">J13W計算シート!$B$33</definedName>
    <definedName name="【研修申込区分別費用】" comment="金額">J13W計算シート!$B$34:$I$43</definedName>
    <definedName name="【研修日数】" comment="セル範囲">J13W計算シート!$N$15:$W$27</definedName>
    <definedName name="【研修旅行】">J13W計算シート!$P$32:$Q$33</definedName>
    <definedName name="【国内移動費】">J13W計算シート!$K$5:$M$7</definedName>
    <definedName name="【雑費】" comment="金額">J13W計算シート!$D$20</definedName>
    <definedName name="【実地研修中の宿泊】" comment="試算条件">J13W計算シート!$B$24</definedName>
    <definedName name="【宿舎費_会社施設】" comment="金額">J13W計算シート!$D$27</definedName>
    <definedName name="【宿舎費_外部宿舎】" comment="金額">J13W計算シート!$D$28</definedName>
    <definedName name="【宿舎費_研修センター】" comment="金額">J13W計算シート!$D$26</definedName>
    <definedName name="【宿舎費_研修旅行中】" comment="金額">J13W計算シート!$D$29</definedName>
    <definedName name="【食費_昼食】" comment="金額">J13W計算シート!$D$18</definedName>
    <definedName name="【食費_朝食】" comment="金額">J13W計算シート!$D$17</definedName>
    <definedName name="【食費_夕食】" comment="金額">J13W計算シート!$D$19</definedName>
    <definedName name="【日程表】" comment="セル範囲">J13W計算シート!$B$49:$G$55</definedName>
    <definedName name="【日程表項番】" comment="試算条件">J13W計算シート!$B$46</definedName>
    <definedName name="_xlnm.Print_Area" localSheetId="1">J13W月別受入費明細!$A$1:$AF$49</definedName>
    <definedName name="_xlnm.Print_Area" localSheetId="0">J13W費用試算!$A$1:$Z$61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" l="1"/>
  <c r="H43" i="7" l="1"/>
  <c r="H42" i="7"/>
  <c r="H41" i="7"/>
  <c r="H40" i="7"/>
  <c r="H39" i="7"/>
  <c r="H38" i="7"/>
  <c r="H37" i="7"/>
  <c r="H36" i="7"/>
  <c r="E43" i="7"/>
  <c r="G3" i="2" l="1"/>
  <c r="E42" i="8" l="1"/>
  <c r="U35" i="2"/>
  <c r="Z35" i="2" s="1"/>
  <c r="G52" i="7" l="1"/>
  <c r="H52" i="7" s="1"/>
  <c r="C52" i="7" s="1"/>
  <c r="C55" i="7" l="1"/>
  <c r="F12" i="2" l="1"/>
  <c r="I35" i="2" s="1"/>
  <c r="I57" i="2" s="1"/>
  <c r="AF42" i="8" l="1"/>
  <c r="M3" i="2" l="1"/>
  <c r="F1" i="8" s="1"/>
  <c r="Q43" i="2"/>
  <c r="Y51" i="2" s="1"/>
  <c r="F3" i="8"/>
  <c r="H31" i="2" l="1"/>
  <c r="D18" i="8" l="1"/>
  <c r="I56" i="2"/>
  <c r="H56" i="2"/>
  <c r="I55" i="2"/>
  <c r="I53" i="2"/>
  <c r="H45" i="2"/>
  <c r="J45" i="2" s="1"/>
  <c r="Q44" i="2" s="1"/>
  <c r="Y52" i="2" s="1"/>
  <c r="Q35" i="2"/>
  <c r="I34" i="2"/>
  <c r="H34" i="2"/>
  <c r="H33" i="2"/>
  <c r="G33" i="2"/>
  <c r="D22" i="8" s="1"/>
  <c r="J31" i="2"/>
  <c r="H29" i="2"/>
  <c r="H54" i="2" s="1"/>
  <c r="H28" i="2"/>
  <c r="H53" i="2" s="1"/>
  <c r="L25" i="2"/>
  <c r="K26" i="2" s="1"/>
  <c r="M17" i="2"/>
  <c r="M11" i="2"/>
  <c r="H32" i="2" s="1"/>
  <c r="H58" i="2" s="1"/>
  <c r="J11" i="2"/>
  <c r="W6" i="2"/>
  <c r="J53" i="2" l="1"/>
  <c r="E13" i="8" s="1"/>
  <c r="J34" i="2"/>
  <c r="E46" i="8" s="1"/>
  <c r="J56" i="2"/>
  <c r="E16" i="8" s="1"/>
  <c r="E20" i="8"/>
  <c r="G20" i="8" s="1"/>
  <c r="G42" i="8"/>
  <c r="Z40" i="2"/>
  <c r="G13" i="8"/>
  <c r="AF13" i="8" s="1"/>
  <c r="E28" i="8"/>
  <c r="G28" i="8" s="1"/>
  <c r="AF28" i="8" s="1"/>
  <c r="J28" i="2"/>
  <c r="K31" i="2"/>
  <c r="J37" i="2"/>
  <c r="U40" i="2"/>
  <c r="M5" i="7"/>
  <c r="G43" i="8" s="1"/>
  <c r="E25" i="8" l="1"/>
  <c r="E43" i="8"/>
  <c r="U38" i="2"/>
  <c r="Z38" i="2" s="1"/>
  <c r="K37" i="2"/>
  <c r="W14" i="2"/>
  <c r="E23" i="8"/>
  <c r="K34" i="2"/>
  <c r="W7" i="2"/>
  <c r="W8" i="2" s="1"/>
  <c r="K28" i="2"/>
  <c r="D27" i="8" l="1"/>
  <c r="H36" i="2"/>
  <c r="Q41" i="2"/>
  <c r="Y49" i="2" s="1"/>
  <c r="N25" i="2"/>
  <c r="M26" i="2" s="1"/>
  <c r="H30" i="2"/>
  <c r="M37" i="2" l="1"/>
  <c r="H55" i="2"/>
  <c r="J55" i="2" s="1"/>
  <c r="E15" i="8" s="1"/>
  <c r="J30" i="2"/>
  <c r="M31" i="2"/>
  <c r="M34" i="2"/>
  <c r="M28" i="2"/>
  <c r="C10" i="7"/>
  <c r="C8" i="7"/>
  <c r="G40" i="8" l="1"/>
  <c r="M30" i="2"/>
  <c r="K30" i="2"/>
  <c r="G53" i="7"/>
  <c r="H53" i="7" s="1"/>
  <c r="C53" i="7" s="1"/>
  <c r="C6" i="7"/>
  <c r="G55" i="7"/>
  <c r="H55" i="7" s="1"/>
  <c r="M7" i="7"/>
  <c r="M6" i="7"/>
  <c r="O5" i="7"/>
  <c r="C5" i="7"/>
  <c r="F9" i="2" s="1"/>
  <c r="G50" i="7"/>
  <c r="H50" i="7" s="1"/>
  <c r="C50" i="7" s="1"/>
  <c r="G51" i="7"/>
  <c r="H51" i="7" s="1"/>
  <c r="C51" i="7" s="1"/>
  <c r="G54" i="7"/>
  <c r="H54" i="7" s="1"/>
  <c r="C54" i="7" s="1"/>
  <c r="G49" i="7"/>
  <c r="H49" i="7" s="1"/>
  <c r="C49" i="7" s="1"/>
  <c r="C7" i="7" l="1"/>
  <c r="H3" i="8" s="1"/>
  <c r="S74" i="7"/>
  <c r="S72" i="7"/>
  <c r="S59" i="7"/>
  <c r="S57" i="7"/>
  <c r="S55" i="7"/>
  <c r="S53" i="7"/>
  <c r="S51" i="7"/>
  <c r="S49" i="7"/>
  <c r="S47" i="7"/>
  <c r="S45" i="7"/>
  <c r="S43" i="7"/>
  <c r="S41" i="7"/>
  <c r="S39" i="7"/>
  <c r="S37" i="7"/>
  <c r="S35" i="7"/>
  <c r="S73" i="7"/>
  <c r="S60" i="7"/>
  <c r="S58" i="7"/>
  <c r="S56" i="7"/>
  <c r="S54" i="7"/>
  <c r="S52" i="7"/>
  <c r="S50" i="7"/>
  <c r="S48" i="7"/>
  <c r="S46" i="7"/>
  <c r="S44" i="7"/>
  <c r="S42" i="7"/>
  <c r="S40" i="7"/>
  <c r="S38" i="7"/>
  <c r="S36" i="7"/>
  <c r="S34" i="7"/>
  <c r="B46" i="8"/>
  <c r="C9" i="7"/>
  <c r="C13" i="7" s="1"/>
  <c r="B24" i="8" s="1"/>
  <c r="I29" i="2"/>
  <c r="L15" i="7"/>
  <c r="M15" i="7"/>
  <c r="E5" i="7"/>
  <c r="C12" i="7" l="1"/>
  <c r="I40" i="8" s="1"/>
  <c r="F46" i="8"/>
  <c r="G46" i="8" s="1"/>
  <c r="G47" i="8" s="1"/>
  <c r="C11" i="7"/>
  <c r="I54" i="2"/>
  <c r="J54" i="2" s="1"/>
  <c r="E14" i="8" s="1"/>
  <c r="J29" i="2"/>
  <c r="I36" i="2"/>
  <c r="J36" i="2" s="1"/>
  <c r="E24" i="8" s="1"/>
  <c r="I33" i="2"/>
  <c r="I32" i="2"/>
  <c r="C14" i="7"/>
  <c r="M8" i="7"/>
  <c r="O15" i="7"/>
  <c r="P15" i="7" s="1"/>
  <c r="Q15" i="7" s="1"/>
  <c r="R15" i="7" s="1"/>
  <c r="L16" i="7"/>
  <c r="M16" i="7"/>
  <c r="N15" i="7"/>
  <c r="U32" i="7" l="1"/>
  <c r="T32" i="7"/>
  <c r="D11" i="7"/>
  <c r="O32" i="7"/>
  <c r="M29" i="2"/>
  <c r="K29" i="2"/>
  <c r="E14" i="7"/>
  <c r="H40" i="8"/>
  <c r="J32" i="2"/>
  <c r="W10" i="2" s="1"/>
  <c r="W11" i="2" s="1"/>
  <c r="I58" i="2"/>
  <c r="J58" i="2" s="1"/>
  <c r="J33" i="2"/>
  <c r="E45" i="8" s="1"/>
  <c r="B45" i="8"/>
  <c r="U39" i="2"/>
  <c r="Z39" i="2" s="1"/>
  <c r="M36" i="2"/>
  <c r="K36" i="2"/>
  <c r="W17" i="2"/>
  <c r="F14" i="2"/>
  <c r="H4" i="8" s="1"/>
  <c r="L5" i="7"/>
  <c r="K5" i="7" s="1"/>
  <c r="S15" i="7"/>
  <c r="T15" i="7"/>
  <c r="O16" i="7"/>
  <c r="P16" i="7" s="1"/>
  <c r="Q16" i="7" s="1"/>
  <c r="R16" i="7" s="1"/>
  <c r="L17" i="7"/>
  <c r="M17" i="7"/>
  <c r="N16" i="7"/>
  <c r="E44" i="8" l="1"/>
  <c r="E47" i="8" s="1"/>
  <c r="U36" i="2"/>
  <c r="Z36" i="2" s="1"/>
  <c r="W18" i="2"/>
  <c r="W19" i="2" s="1"/>
  <c r="S70" i="7"/>
  <c r="S65" i="7"/>
  <c r="S69" i="7"/>
  <c r="S62" i="7"/>
  <c r="S66" i="7"/>
  <c r="S63" i="7"/>
  <c r="S67" i="7"/>
  <c r="S71" i="7"/>
  <c r="S64" i="7"/>
  <c r="S68" i="7"/>
  <c r="S61" i="7"/>
  <c r="K33" i="2"/>
  <c r="K32" i="2"/>
  <c r="U37" i="2"/>
  <c r="Z37" i="2" s="1"/>
  <c r="E22" i="8"/>
  <c r="W13" i="2"/>
  <c r="W15" i="2" s="1"/>
  <c r="M33" i="2"/>
  <c r="M32" i="2"/>
  <c r="U15" i="7"/>
  <c r="F10" i="8" s="1"/>
  <c r="O33" i="7"/>
  <c r="Q32" i="7" s="1"/>
  <c r="E18" i="8"/>
  <c r="S16" i="7"/>
  <c r="T16" i="7"/>
  <c r="O17" i="7"/>
  <c r="P17" i="7" s="1"/>
  <c r="Q17" i="7" s="1"/>
  <c r="R17" i="7" s="1"/>
  <c r="L18" i="7"/>
  <c r="M18" i="7"/>
  <c r="P32" i="7" s="1"/>
  <c r="N17" i="7"/>
  <c r="Z41" i="2" l="1"/>
  <c r="U41" i="2"/>
  <c r="J35" i="2"/>
  <c r="J38" i="2" s="1"/>
  <c r="V15" i="7"/>
  <c r="F8" i="8" s="1"/>
  <c r="U16" i="7"/>
  <c r="H10" i="8" s="1"/>
  <c r="F7" i="8"/>
  <c r="F6" i="8" s="1"/>
  <c r="F23" i="8"/>
  <c r="G23" i="8" s="1"/>
  <c r="Q33" i="7"/>
  <c r="P33" i="7"/>
  <c r="E21" i="8"/>
  <c r="E26" i="8" s="1"/>
  <c r="S17" i="7"/>
  <c r="T17" i="7"/>
  <c r="O18" i="7"/>
  <c r="P18" i="7" s="1"/>
  <c r="Q18" i="7" s="1"/>
  <c r="R18" i="7" s="1"/>
  <c r="L19" i="7"/>
  <c r="M19" i="7"/>
  <c r="N18" i="7"/>
  <c r="W15" i="7" l="1"/>
  <c r="F9" i="8" s="1"/>
  <c r="F18" i="8" s="1"/>
  <c r="G18" i="8" s="1"/>
  <c r="H7" i="8"/>
  <c r="H6" i="8" s="1"/>
  <c r="M35" i="2"/>
  <c r="M38" i="2" s="1"/>
  <c r="K35" i="2"/>
  <c r="J57" i="2"/>
  <c r="E17" i="8" s="1"/>
  <c r="E19" i="8" s="1"/>
  <c r="H23" i="8"/>
  <c r="I23" i="8" s="1"/>
  <c r="U17" i="7"/>
  <c r="J10" i="8" s="1"/>
  <c r="V16" i="7"/>
  <c r="S18" i="7"/>
  <c r="T18" i="7"/>
  <c r="O19" i="7"/>
  <c r="P19" i="7" s="1"/>
  <c r="Q19" i="7" s="1"/>
  <c r="R19" i="7" s="1"/>
  <c r="L20" i="7"/>
  <c r="M20" i="7"/>
  <c r="N19" i="7"/>
  <c r="F21" i="8" l="1"/>
  <c r="G21" i="8" s="1"/>
  <c r="F24" i="8"/>
  <c r="G24" i="8" s="1"/>
  <c r="F22" i="8"/>
  <c r="G22" i="8" s="1"/>
  <c r="K38" i="2"/>
  <c r="Q34" i="2" s="1"/>
  <c r="V17" i="7"/>
  <c r="J8" i="8" s="1"/>
  <c r="S29" i="2"/>
  <c r="J23" i="8"/>
  <c r="K23" i="8" s="1"/>
  <c r="U32" i="2"/>
  <c r="J59" i="2"/>
  <c r="U31" i="2" s="1"/>
  <c r="Q40" i="2"/>
  <c r="Y48" i="2" s="1"/>
  <c r="J44" i="2"/>
  <c r="J7" i="8"/>
  <c r="J6" i="8" s="1"/>
  <c r="U18" i="7"/>
  <c r="L10" i="8" s="1"/>
  <c r="H8" i="8"/>
  <c r="W16" i="7"/>
  <c r="H9" i="8" s="1"/>
  <c r="S19" i="7"/>
  <c r="T19" i="7"/>
  <c r="O20" i="7"/>
  <c r="P20" i="7" s="1"/>
  <c r="Q20" i="7" s="1"/>
  <c r="R20" i="7" s="1"/>
  <c r="L21" i="7"/>
  <c r="M21" i="7"/>
  <c r="N20" i="7"/>
  <c r="W17" i="7" l="1"/>
  <c r="J9" i="8" s="1"/>
  <c r="J21" i="8" s="1"/>
  <c r="K21" i="8" s="1"/>
  <c r="L23" i="8"/>
  <c r="M23" i="8" s="1"/>
  <c r="V49" i="2"/>
  <c r="Y46" i="2"/>
  <c r="J47" i="2"/>
  <c r="E27" i="8"/>
  <c r="E29" i="8" s="1"/>
  <c r="E30" i="8" s="1"/>
  <c r="U33" i="2"/>
  <c r="V38" i="2" s="1"/>
  <c r="L7" i="8"/>
  <c r="L6" i="8" s="1"/>
  <c r="V18" i="7"/>
  <c r="L8" i="8" s="1"/>
  <c r="J18" i="8"/>
  <c r="K18" i="8" s="1"/>
  <c r="U19" i="7"/>
  <c r="N10" i="8" s="1"/>
  <c r="H21" i="8"/>
  <c r="I21" i="8" s="1"/>
  <c r="H18" i="8"/>
  <c r="I18" i="8" s="1"/>
  <c r="H24" i="8"/>
  <c r="I24" i="8" s="1"/>
  <c r="H22" i="8"/>
  <c r="I22" i="8" s="1"/>
  <c r="S20" i="7"/>
  <c r="T20" i="7"/>
  <c r="O21" i="7"/>
  <c r="P21" i="7" s="1"/>
  <c r="Q21" i="7" s="1"/>
  <c r="R21" i="7" s="1"/>
  <c r="L22" i="7"/>
  <c r="M22" i="7"/>
  <c r="N21" i="7"/>
  <c r="W55" i="2" l="1"/>
  <c r="W56" i="2" s="1"/>
  <c r="J22" i="8"/>
  <c r="K22" i="8" s="1"/>
  <c r="J24" i="8"/>
  <c r="K24" i="8" s="1"/>
  <c r="N23" i="8"/>
  <c r="O23" i="8" s="1"/>
  <c r="V19" i="7"/>
  <c r="N8" i="8" s="1"/>
  <c r="N7" i="8"/>
  <c r="N6" i="8" s="1"/>
  <c r="W18" i="7"/>
  <c r="U20" i="7"/>
  <c r="P10" i="8" s="1"/>
  <c r="S21" i="7"/>
  <c r="T21" i="7"/>
  <c r="O22" i="7"/>
  <c r="P22" i="7" s="1"/>
  <c r="Q22" i="7" s="1"/>
  <c r="R22" i="7" s="1"/>
  <c r="L23" i="7"/>
  <c r="M23" i="7"/>
  <c r="N22" i="7"/>
  <c r="W19" i="7" l="1"/>
  <c r="N9" i="8" s="1"/>
  <c r="N21" i="8" s="1"/>
  <c r="O21" i="8" s="1"/>
  <c r="P23" i="8"/>
  <c r="Q23" i="8" s="1"/>
  <c r="H45" i="8"/>
  <c r="J40" i="8" s="1"/>
  <c r="P7" i="8"/>
  <c r="P6" i="8" s="1"/>
  <c r="H44" i="8"/>
  <c r="I44" i="8" s="1"/>
  <c r="L9" i="8"/>
  <c r="H46" i="8"/>
  <c r="I46" i="8" s="1"/>
  <c r="V20" i="7"/>
  <c r="P8" i="8" s="1"/>
  <c r="N18" i="8"/>
  <c r="O18" i="8" s="1"/>
  <c r="U21" i="7"/>
  <c r="R10" i="8" s="1"/>
  <c r="S22" i="7"/>
  <c r="T22" i="7"/>
  <c r="O23" i="7"/>
  <c r="P23" i="7" s="1"/>
  <c r="Q23" i="7" s="1"/>
  <c r="R23" i="7" s="1"/>
  <c r="L24" i="7"/>
  <c r="M24" i="7"/>
  <c r="N23" i="7"/>
  <c r="N24" i="8" l="1"/>
  <c r="O24" i="8" s="1"/>
  <c r="N22" i="8"/>
  <c r="O22" i="8" s="1"/>
  <c r="I45" i="8"/>
  <c r="J44" i="8"/>
  <c r="K44" i="8" s="1"/>
  <c r="R23" i="8"/>
  <c r="S23" i="8" s="1"/>
  <c r="V21" i="7"/>
  <c r="R8" i="8" s="1"/>
  <c r="L21" i="8"/>
  <c r="M21" i="8" s="1"/>
  <c r="L18" i="8"/>
  <c r="M18" i="8" s="1"/>
  <c r="L24" i="8"/>
  <c r="M24" i="8" s="1"/>
  <c r="L22" i="8"/>
  <c r="M22" i="8" s="1"/>
  <c r="R7" i="8"/>
  <c r="R6" i="8" s="1"/>
  <c r="U22" i="7"/>
  <c r="T10" i="8" s="1"/>
  <c r="W20" i="7"/>
  <c r="J45" i="8" s="1"/>
  <c r="K45" i="8" s="1"/>
  <c r="S23" i="7"/>
  <c r="T23" i="7"/>
  <c r="O24" i="7"/>
  <c r="P24" i="7" s="1"/>
  <c r="Q24" i="7" s="1"/>
  <c r="R24" i="7" s="1"/>
  <c r="L25" i="7"/>
  <c r="M25" i="7"/>
  <c r="N24" i="7"/>
  <c r="T7" i="8" l="1"/>
  <c r="T6" i="8" s="1"/>
  <c r="W21" i="7"/>
  <c r="R9" i="8" s="1"/>
  <c r="R21" i="8" s="1"/>
  <c r="S21" i="8" s="1"/>
  <c r="P9" i="8"/>
  <c r="P22" i="8" s="1"/>
  <c r="Q22" i="8" s="1"/>
  <c r="J46" i="8"/>
  <c r="K46" i="8" s="1"/>
  <c r="U23" i="7"/>
  <c r="V10" i="8" s="1"/>
  <c r="V22" i="7"/>
  <c r="T8" i="8" s="1"/>
  <c r="T23" i="8"/>
  <c r="U23" i="8" s="1"/>
  <c r="S24" i="7"/>
  <c r="T24" i="7"/>
  <c r="O25" i="7"/>
  <c r="P25" i="7" s="1"/>
  <c r="Q25" i="7" s="1"/>
  <c r="R25" i="7" s="1"/>
  <c r="L26" i="7"/>
  <c r="M26" i="7"/>
  <c r="N25" i="7"/>
  <c r="V23" i="8" l="1"/>
  <c r="W23" i="8" s="1"/>
  <c r="V7" i="8"/>
  <c r="V6" i="8" s="1"/>
  <c r="W22" i="7"/>
  <c r="T9" i="8" s="1"/>
  <c r="T21" i="8" s="1"/>
  <c r="U21" i="8" s="1"/>
  <c r="R22" i="8"/>
  <c r="S22" i="8" s="1"/>
  <c r="U24" i="7"/>
  <c r="X10" i="8" s="1"/>
  <c r="R24" i="8"/>
  <c r="S24" i="8" s="1"/>
  <c r="R18" i="8"/>
  <c r="S18" i="8" s="1"/>
  <c r="P21" i="8"/>
  <c r="Q21" i="8" s="1"/>
  <c r="P24" i="8"/>
  <c r="Q24" i="8" s="1"/>
  <c r="P18" i="8"/>
  <c r="Q18" i="8" s="1"/>
  <c r="V23" i="7"/>
  <c r="V8" i="8" s="1"/>
  <c r="S25" i="7"/>
  <c r="T25" i="7"/>
  <c r="O26" i="7"/>
  <c r="P26" i="7" s="1"/>
  <c r="Q26" i="7" s="1"/>
  <c r="R26" i="7" s="1"/>
  <c r="L27" i="7"/>
  <c r="M27" i="7"/>
  <c r="N26" i="7"/>
  <c r="X23" i="8" l="1"/>
  <c r="Y23" i="8" s="1"/>
  <c r="T22" i="8"/>
  <c r="U22" i="8" s="1"/>
  <c r="T24" i="8"/>
  <c r="U24" i="8" s="1"/>
  <c r="T18" i="8"/>
  <c r="U18" i="8" s="1"/>
  <c r="X7" i="8"/>
  <c r="X6" i="8" s="1"/>
  <c r="U25" i="7"/>
  <c r="Z10" i="8" s="1"/>
  <c r="V24" i="7"/>
  <c r="X8" i="8" s="1"/>
  <c r="W23" i="7"/>
  <c r="V9" i="8" s="1"/>
  <c r="V22" i="8" s="1"/>
  <c r="W22" i="8" s="1"/>
  <c r="F15" i="8"/>
  <c r="H15" i="8"/>
  <c r="J15" i="8"/>
  <c r="L15" i="8"/>
  <c r="N15" i="8"/>
  <c r="P15" i="8"/>
  <c r="R15" i="8"/>
  <c r="R14" i="8" s="1"/>
  <c r="S14" i="8" s="1"/>
  <c r="T15" i="8"/>
  <c r="T14" i="8" s="1"/>
  <c r="U14" i="8" s="1"/>
  <c r="V15" i="8"/>
  <c r="V14" i="8" s="1"/>
  <c r="W14" i="8" s="1"/>
  <c r="O27" i="7"/>
  <c r="P27" i="7" s="1"/>
  <c r="Q27" i="7" s="1"/>
  <c r="R27" i="7" s="1"/>
  <c r="S26" i="7"/>
  <c r="T26" i="7"/>
  <c r="N27" i="7"/>
  <c r="W24" i="7" l="1"/>
  <c r="X9" i="8" s="1"/>
  <c r="X21" i="8" s="1"/>
  <c r="Y21" i="8" s="1"/>
  <c r="Z7" i="8"/>
  <c r="Z6" i="8" s="1"/>
  <c r="Z15" i="8" s="1"/>
  <c r="V25" i="7"/>
  <c r="Z8" i="8" s="1"/>
  <c r="X15" i="8"/>
  <c r="X14" i="8" s="1"/>
  <c r="Y14" i="8" s="1"/>
  <c r="Z23" i="8"/>
  <c r="AA23" i="8" s="1"/>
  <c r="U26" i="7"/>
  <c r="AB10" i="8" s="1"/>
  <c r="V24" i="8"/>
  <c r="W24" i="8" s="1"/>
  <c r="V21" i="8"/>
  <c r="W21" i="8" s="1"/>
  <c r="V18" i="8"/>
  <c r="W18" i="8" s="1"/>
  <c r="X18" i="8"/>
  <c r="Y18" i="8" s="1"/>
  <c r="W15" i="8"/>
  <c r="V16" i="8"/>
  <c r="W16" i="8" s="1"/>
  <c r="U15" i="8"/>
  <c r="T16" i="8"/>
  <c r="U16" i="8" s="1"/>
  <c r="S15" i="8"/>
  <c r="R16" i="8"/>
  <c r="S16" i="8" s="1"/>
  <c r="Q15" i="8"/>
  <c r="P16" i="8"/>
  <c r="Q16" i="8" s="1"/>
  <c r="P14" i="8"/>
  <c r="Q14" i="8" s="1"/>
  <c r="O15" i="8"/>
  <c r="N16" i="8"/>
  <c r="O16" i="8" s="1"/>
  <c r="N14" i="8"/>
  <c r="O14" i="8" s="1"/>
  <c r="M15" i="8"/>
  <c r="L16" i="8"/>
  <c r="M16" i="8" s="1"/>
  <c r="L14" i="8"/>
  <c r="M14" i="8" s="1"/>
  <c r="K15" i="8"/>
  <c r="J16" i="8"/>
  <c r="K16" i="8" s="1"/>
  <c r="J14" i="8"/>
  <c r="K14" i="8" s="1"/>
  <c r="I15" i="8"/>
  <c r="H16" i="8"/>
  <c r="I16" i="8" s="1"/>
  <c r="H14" i="8"/>
  <c r="I14" i="8" s="1"/>
  <c r="G15" i="8"/>
  <c r="F16" i="8"/>
  <c r="G16" i="8" s="1"/>
  <c r="F14" i="8"/>
  <c r="G14" i="8" s="1"/>
  <c r="S27" i="7"/>
  <c r="T27" i="7"/>
  <c r="X22" i="8" l="1"/>
  <c r="Y22" i="8" s="1"/>
  <c r="X24" i="8"/>
  <c r="Y24" i="8" s="1"/>
  <c r="W25" i="7"/>
  <c r="Z9" i="8" s="1"/>
  <c r="Z21" i="8" s="1"/>
  <c r="AA21" i="8" s="1"/>
  <c r="Z14" i="8"/>
  <c r="AA14" i="8" s="1"/>
  <c r="AB23" i="8"/>
  <c r="AC23" i="8" s="1"/>
  <c r="Y15" i="8"/>
  <c r="AB7" i="8"/>
  <c r="AB6" i="8" s="1"/>
  <c r="AB15" i="8" s="1"/>
  <c r="X16" i="8"/>
  <c r="Y16" i="8" s="1"/>
  <c r="U27" i="7"/>
  <c r="AD10" i="8" s="1"/>
  <c r="AD7" i="8" s="1"/>
  <c r="AD6" i="8" s="1"/>
  <c r="V26" i="7"/>
  <c r="AB8" i="8" s="1"/>
  <c r="Z22" i="8"/>
  <c r="AA22" i="8" s="1"/>
  <c r="Z18" i="8"/>
  <c r="AA18" i="8" s="1"/>
  <c r="AA15" i="8"/>
  <c r="Z16" i="8"/>
  <c r="AA16" i="8" s="1"/>
  <c r="Z24" i="8" l="1"/>
  <c r="AA24" i="8" s="1"/>
  <c r="AD23" i="8"/>
  <c r="AE23" i="8" s="1"/>
  <c r="AB14" i="8"/>
  <c r="AC14" i="8" s="1"/>
  <c r="U28" i="7"/>
  <c r="AF10" i="8"/>
  <c r="V27" i="7"/>
  <c r="AD8" i="8" s="1"/>
  <c r="AF8" i="8" s="1"/>
  <c r="W26" i="7"/>
  <c r="AB9" i="8" s="1"/>
  <c r="AB22" i="8" s="1"/>
  <c r="AC22" i="8" s="1"/>
  <c r="L6" i="7"/>
  <c r="AD15" i="8"/>
  <c r="AC15" i="8"/>
  <c r="AB16" i="8"/>
  <c r="AC16" i="8" s="1"/>
  <c r="L7" i="7"/>
  <c r="AD14" i="8" l="1"/>
  <c r="AE14" i="8" s="1"/>
  <c r="K6" i="7"/>
  <c r="I43" i="8"/>
  <c r="K43" i="8"/>
  <c r="K47" i="8" s="1"/>
  <c r="G17" i="8"/>
  <c r="I17" i="8"/>
  <c r="I19" i="8" s="1"/>
  <c r="K17" i="8"/>
  <c r="K19" i="8" s="1"/>
  <c r="M17" i="8"/>
  <c r="M19" i="8" s="1"/>
  <c r="O17" i="8"/>
  <c r="O19" i="8" s="1"/>
  <c r="Q17" i="8"/>
  <c r="Q19" i="8" s="1"/>
  <c r="S17" i="8"/>
  <c r="S19" i="8" s="1"/>
  <c r="U17" i="8"/>
  <c r="U19" i="8" s="1"/>
  <c r="W17" i="8"/>
  <c r="W19" i="8" s="1"/>
  <c r="Y17" i="8"/>
  <c r="Y19" i="8" s="1"/>
  <c r="AA17" i="8"/>
  <c r="AA19" i="8" s="1"/>
  <c r="AC17" i="8"/>
  <c r="AE17" i="8"/>
  <c r="W27" i="7"/>
  <c r="AD9" i="8" s="1"/>
  <c r="AF9" i="8" s="1"/>
  <c r="V28" i="7"/>
  <c r="AB21" i="8"/>
  <c r="AC21" i="8" s="1"/>
  <c r="AB24" i="8"/>
  <c r="AC24" i="8" s="1"/>
  <c r="AB18" i="8"/>
  <c r="AC18" i="8" s="1"/>
  <c r="AE15" i="8"/>
  <c r="AF15" i="8" s="1"/>
  <c r="AD16" i="8"/>
  <c r="AE16" i="8" s="1"/>
  <c r="AF14" i="8"/>
  <c r="K7" i="7"/>
  <c r="AE25" i="8" s="1"/>
  <c r="AC19" i="8" l="1"/>
  <c r="I47" i="8"/>
  <c r="L40" i="8"/>
  <c r="AF17" i="8"/>
  <c r="G19" i="8"/>
  <c r="AD24" i="8"/>
  <c r="AE24" i="8" s="1"/>
  <c r="AD21" i="8"/>
  <c r="AE21" i="8" s="1"/>
  <c r="AA25" i="8"/>
  <c r="AA26" i="8" s="1"/>
  <c r="AA27" i="8" s="1"/>
  <c r="AA29" i="8" s="1"/>
  <c r="Z30" i="8" s="1"/>
  <c r="Q25" i="8"/>
  <c r="Q26" i="8" s="1"/>
  <c r="Q27" i="8" s="1"/>
  <c r="Q29" i="8" s="1"/>
  <c r="P30" i="8" s="1"/>
  <c r="I25" i="8"/>
  <c r="I26" i="8" s="1"/>
  <c r="I27" i="8" s="1"/>
  <c r="I29" i="8" s="1"/>
  <c r="H30" i="8" s="1"/>
  <c r="AD22" i="8"/>
  <c r="AE22" i="8" s="1"/>
  <c r="AC25" i="8"/>
  <c r="AC26" i="8" s="1"/>
  <c r="U25" i="8"/>
  <c r="U26" i="8" s="1"/>
  <c r="U27" i="8" s="1"/>
  <c r="U29" i="8" s="1"/>
  <c r="T30" i="8" s="1"/>
  <c r="M25" i="8"/>
  <c r="M26" i="8" s="1"/>
  <c r="M27" i="8" s="1"/>
  <c r="M29" i="8" s="1"/>
  <c r="L30" i="8" s="1"/>
  <c r="Y25" i="8"/>
  <c r="Y26" i="8" s="1"/>
  <c r="Y27" i="8" s="1"/>
  <c r="Y29" i="8" s="1"/>
  <c r="X30" i="8" s="1"/>
  <c r="W25" i="8"/>
  <c r="W26" i="8" s="1"/>
  <c r="W27" i="8" s="1"/>
  <c r="W29" i="8" s="1"/>
  <c r="V30" i="8" s="1"/>
  <c r="S25" i="8"/>
  <c r="S26" i="8" s="1"/>
  <c r="S27" i="8" s="1"/>
  <c r="S29" i="8" s="1"/>
  <c r="R30" i="8" s="1"/>
  <c r="O25" i="8"/>
  <c r="O26" i="8" s="1"/>
  <c r="O27" i="8" s="1"/>
  <c r="O29" i="8" s="1"/>
  <c r="N30" i="8" s="1"/>
  <c r="K25" i="8"/>
  <c r="K26" i="8" s="1"/>
  <c r="K27" i="8" s="1"/>
  <c r="K29" i="8" s="1"/>
  <c r="J30" i="8" s="1"/>
  <c r="G25" i="8"/>
  <c r="AD18" i="8"/>
  <c r="AE18" i="8" s="1"/>
  <c r="AE19" i="8" s="1"/>
  <c r="W28" i="7"/>
  <c r="AF16" i="8"/>
  <c r="AC27" i="8" l="1"/>
  <c r="AC29" i="8" s="1"/>
  <c r="AB30" i="8" s="1"/>
  <c r="M43" i="8"/>
  <c r="L44" i="8"/>
  <c r="M44" i="8" s="1"/>
  <c r="L46" i="8"/>
  <c r="M46" i="8" s="1"/>
  <c r="L45" i="8"/>
  <c r="M45" i="8" s="1"/>
  <c r="AE26" i="8"/>
  <c r="AE27" i="8" s="1"/>
  <c r="AE29" i="8" s="1"/>
  <c r="AD30" i="8" s="1"/>
  <c r="AF18" i="8"/>
  <c r="AF22" i="8"/>
  <c r="AF20" i="8"/>
  <c r="G26" i="8"/>
  <c r="G27" i="8" s="1"/>
  <c r="G29" i="8" s="1"/>
  <c r="F30" i="8" s="1"/>
  <c r="AF25" i="8"/>
  <c r="AF23" i="8"/>
  <c r="AF19" i="8"/>
  <c r="AF21" i="8"/>
  <c r="AF24" i="8"/>
  <c r="AF27" i="8" l="1"/>
  <c r="AF26" i="8"/>
  <c r="N40" i="8"/>
  <c r="M47" i="8"/>
  <c r="F31" i="8"/>
  <c r="H31" i="8" s="1"/>
  <c r="J31" i="8" s="1"/>
  <c r="L31" i="8" s="1"/>
  <c r="N31" i="8" s="1"/>
  <c r="P31" i="8" s="1"/>
  <c r="R31" i="8" s="1"/>
  <c r="T31" i="8" s="1"/>
  <c r="V31" i="8" s="1"/>
  <c r="X31" i="8" s="1"/>
  <c r="Z31" i="8" s="1"/>
  <c r="AB31" i="8" s="1"/>
  <c r="AD31" i="8" s="1"/>
  <c r="AF29" i="8"/>
  <c r="O43" i="8" l="1"/>
  <c r="N46" i="8"/>
  <c r="O46" i="8" s="1"/>
  <c r="N44" i="8"/>
  <c r="O44" i="8" s="1"/>
  <c r="N45" i="8"/>
  <c r="O45" i="8" s="1"/>
  <c r="AF30" i="8"/>
  <c r="P40" i="8" l="1"/>
  <c r="O47" i="8"/>
  <c r="Q43" i="8" l="1"/>
  <c r="P44" i="8"/>
  <c r="Q44" i="8" s="1"/>
  <c r="P45" i="8"/>
  <c r="P46" i="8"/>
  <c r="Q46" i="8" s="1"/>
  <c r="Q45" i="8" l="1"/>
  <c r="R40" i="8" s="1"/>
  <c r="Q47" i="8" l="1"/>
  <c r="S43" i="8"/>
  <c r="R44" i="8"/>
  <c r="S44" i="8" s="1"/>
  <c r="R45" i="8"/>
  <c r="R46" i="8"/>
  <c r="S46" i="8" s="1"/>
  <c r="S45" i="8" l="1"/>
  <c r="T40" i="8" s="1"/>
  <c r="S47" i="8" l="1"/>
  <c r="U43" i="8"/>
  <c r="T46" i="8"/>
  <c r="U46" i="8" s="1"/>
  <c r="T44" i="8"/>
  <c r="U44" i="8" s="1"/>
  <c r="T45" i="8"/>
  <c r="U45" i="8" l="1"/>
  <c r="U47" i="8" s="1"/>
  <c r="V40" i="8" l="1"/>
  <c r="W43" i="8" l="1"/>
  <c r="V46" i="8"/>
  <c r="W46" i="8" s="1"/>
  <c r="V44" i="8"/>
  <c r="W44" i="8" s="1"/>
  <c r="V45" i="8"/>
  <c r="W45" i="8" l="1"/>
  <c r="W47" i="8" s="1"/>
  <c r="X40" i="8" l="1"/>
  <c r="Y43" i="8" l="1"/>
  <c r="X44" i="8"/>
  <c r="Y44" i="8" s="1"/>
  <c r="X45" i="8"/>
  <c r="X46" i="8"/>
  <c r="Y46" i="8" s="1"/>
  <c r="Y45" i="8" l="1"/>
  <c r="Y47" i="8" s="1"/>
  <c r="Z40" i="8" l="1"/>
  <c r="AA43" i="8" l="1"/>
  <c r="Z44" i="8"/>
  <c r="AA44" i="8" s="1"/>
  <c r="Z45" i="8"/>
  <c r="Z46" i="8"/>
  <c r="AA46" i="8" s="1"/>
  <c r="AA45" i="8" l="1"/>
  <c r="AA47" i="8" s="1"/>
  <c r="AB40" i="8" l="1"/>
  <c r="AB46" i="8" l="1"/>
  <c r="AC46" i="8" s="1"/>
  <c r="AB45" i="8"/>
  <c r="AC45" i="8" s="1"/>
  <c r="AC43" i="8"/>
  <c r="AB44" i="8"/>
  <c r="AC44" i="8" s="1"/>
  <c r="AC47" i="8" l="1"/>
  <c r="AD40" i="8"/>
  <c r="AE43" i="8" l="1"/>
  <c r="AD44" i="8"/>
  <c r="AE44" i="8" s="1"/>
  <c r="AD46" i="8"/>
  <c r="AE46" i="8" s="1"/>
  <c r="AD45" i="8"/>
  <c r="AE45" i="8" s="1"/>
  <c r="AF45" i="8" l="1"/>
  <c r="AF44" i="8"/>
  <c r="AF46" i="8"/>
  <c r="AF43" i="8"/>
  <c r="AE47" i="8"/>
  <c r="AF47" i="8" l="1"/>
</calcChain>
</file>

<file path=xl/sharedStrings.xml><?xml version="1.0" encoding="utf-8"?>
<sst xmlns="http://schemas.openxmlformats.org/spreadsheetml/2006/main" count="463" uniqueCount="297">
  <si>
    <t>基準額</t>
  </si>
  <si>
    <t>費目</t>
    <rPh sb="0" eb="2">
      <t>ヒモク</t>
    </rPh>
    <phoneticPr fontId="2"/>
  </si>
  <si>
    <t>雑費</t>
    <rPh sb="0" eb="2">
      <t>ザッピ</t>
    </rPh>
    <phoneticPr fontId="2"/>
  </si>
  <si>
    <t>実地研修費</t>
    <rPh sb="0" eb="2">
      <t>ジッチ</t>
    </rPh>
    <rPh sb="2" eb="4">
      <t>ケンシュウ</t>
    </rPh>
    <rPh sb="4" eb="5">
      <t>ヒ</t>
    </rPh>
    <phoneticPr fontId="2"/>
  </si>
  <si>
    <t>計</t>
    <rPh sb="0" eb="1">
      <t>ケイ</t>
    </rPh>
    <phoneticPr fontId="2"/>
  </si>
  <si>
    <t>日数（一般研修）</t>
    <rPh sb="0" eb="2">
      <t>ニッスウ</t>
    </rPh>
    <rPh sb="3" eb="5">
      <t>イッパン</t>
    </rPh>
    <rPh sb="5" eb="7">
      <t>ケンシュウ</t>
    </rPh>
    <phoneticPr fontId="2"/>
  </si>
  <si>
    <t>日数（実地研修）</t>
    <rPh sb="0" eb="2">
      <t>ニッスウ</t>
    </rPh>
    <rPh sb="3" eb="5">
      <t>ジッチ</t>
    </rPh>
    <phoneticPr fontId="2"/>
  </si>
  <si>
    <t>全体研修期間</t>
    <rPh sb="0" eb="2">
      <t>ゼンタイ</t>
    </rPh>
    <rPh sb="2" eb="4">
      <t>ケンシュウ</t>
    </rPh>
    <rPh sb="4" eb="6">
      <t>キカン</t>
    </rPh>
    <phoneticPr fontId="2"/>
  </si>
  <si>
    <t>一般研修期間</t>
    <rPh sb="0" eb="2">
      <t>イッパン</t>
    </rPh>
    <rPh sb="2" eb="4">
      <t>ケンシュウ</t>
    </rPh>
    <rPh sb="4" eb="6">
      <t>キカン</t>
    </rPh>
    <phoneticPr fontId="2"/>
  </si>
  <si>
    <t>実地研修費</t>
    <rPh sb="0" eb="2">
      <t>ジッチ</t>
    </rPh>
    <rPh sb="2" eb="5">
      <t>ケンシュウヒ</t>
    </rPh>
    <phoneticPr fontId="2"/>
  </si>
  <si>
    <t>チェックイン当日</t>
    <rPh sb="6" eb="8">
      <t>トウジツ</t>
    </rPh>
    <phoneticPr fontId="2"/>
  </si>
  <si>
    <t>一般研修中</t>
    <rPh sb="0" eb="2">
      <t>イッパン</t>
    </rPh>
    <rPh sb="2" eb="5">
      <t>ケンシュウチュウ</t>
    </rPh>
    <phoneticPr fontId="2"/>
  </si>
  <si>
    <t>1ヶ月目</t>
    <rPh sb="2" eb="3">
      <t>ゲツ</t>
    </rPh>
    <rPh sb="3" eb="4">
      <t>メ</t>
    </rPh>
    <phoneticPr fontId="2"/>
  </si>
  <si>
    <t>2ヶ月目</t>
    <rPh sb="2" eb="3">
      <t>ゲツ</t>
    </rPh>
    <rPh sb="3" eb="4">
      <t>メ</t>
    </rPh>
    <phoneticPr fontId="2"/>
  </si>
  <si>
    <t>3ヶ月目</t>
    <rPh sb="2" eb="3">
      <t>ゲツ</t>
    </rPh>
    <rPh sb="3" eb="4">
      <t>メ</t>
    </rPh>
    <phoneticPr fontId="2"/>
  </si>
  <si>
    <t>4ヶ月目</t>
    <rPh sb="2" eb="3">
      <t>ゲツ</t>
    </rPh>
    <rPh sb="3" eb="4">
      <t>メ</t>
    </rPh>
    <phoneticPr fontId="2"/>
  </si>
  <si>
    <t>5ヶ月目</t>
    <rPh sb="2" eb="3">
      <t>ゲツ</t>
    </rPh>
    <rPh sb="3" eb="4">
      <t>メ</t>
    </rPh>
    <phoneticPr fontId="2"/>
  </si>
  <si>
    <t>6ヶ月目</t>
    <rPh sb="2" eb="3">
      <t>ゲツ</t>
    </rPh>
    <rPh sb="3" eb="4">
      <t>メ</t>
    </rPh>
    <phoneticPr fontId="2"/>
  </si>
  <si>
    <t>7ヶ月目</t>
    <rPh sb="2" eb="3">
      <t>ゲツ</t>
    </rPh>
    <rPh sb="3" eb="4">
      <t>メ</t>
    </rPh>
    <phoneticPr fontId="2"/>
  </si>
  <si>
    <t>8ヶ月目</t>
    <rPh sb="2" eb="3">
      <t>ゲツ</t>
    </rPh>
    <rPh sb="3" eb="4">
      <t>メ</t>
    </rPh>
    <phoneticPr fontId="2"/>
  </si>
  <si>
    <t>9ヶ月目</t>
    <rPh sb="2" eb="3">
      <t>ゲツ</t>
    </rPh>
    <rPh sb="3" eb="4">
      <t>メ</t>
    </rPh>
    <phoneticPr fontId="2"/>
  </si>
  <si>
    <t>10ヶ月目</t>
    <rPh sb="3" eb="4">
      <t>ゲツ</t>
    </rPh>
    <rPh sb="4" eb="5">
      <t>メ</t>
    </rPh>
    <phoneticPr fontId="2"/>
  </si>
  <si>
    <t>11ヶ月目</t>
    <rPh sb="3" eb="4">
      <t>ゲツ</t>
    </rPh>
    <rPh sb="4" eb="5">
      <t>メ</t>
    </rPh>
    <phoneticPr fontId="2"/>
  </si>
  <si>
    <t>12ヶ月目</t>
    <rPh sb="3" eb="4">
      <t>ゲツ</t>
    </rPh>
    <rPh sb="4" eb="5">
      <t>メ</t>
    </rPh>
    <phoneticPr fontId="2"/>
  </si>
  <si>
    <t>13ヶ月目</t>
    <rPh sb="3" eb="4">
      <t>ゲツ</t>
    </rPh>
    <rPh sb="4" eb="5">
      <t>メ</t>
    </rPh>
    <phoneticPr fontId="2"/>
  </si>
  <si>
    <t>日数計</t>
    <rPh sb="0" eb="2">
      <t>ニッスウ</t>
    </rPh>
    <rPh sb="2" eb="3">
      <t>ケイ</t>
    </rPh>
    <phoneticPr fontId="2"/>
  </si>
  <si>
    <t>滞在費</t>
    <rPh sb="0" eb="3">
      <t>タイザイヒ</t>
    </rPh>
    <phoneticPr fontId="2"/>
  </si>
  <si>
    <t>【期間情報】</t>
    <rPh sb="1" eb="3">
      <t>キカン</t>
    </rPh>
    <rPh sb="3" eb="5">
      <t>ジョウホウ</t>
    </rPh>
    <phoneticPr fontId="2"/>
  </si>
  <si>
    <t>【研修日数計算】</t>
    <rPh sb="1" eb="3">
      <t>ケンシュウ</t>
    </rPh>
    <rPh sb="3" eb="5">
      <t>ニッスウ</t>
    </rPh>
    <rPh sb="5" eb="7">
      <t>ケイサン</t>
    </rPh>
    <phoneticPr fontId="2"/>
  </si>
  <si>
    <t>宿舎費</t>
    <rPh sb="0" eb="2">
      <t>シュクシャ</t>
    </rPh>
    <rPh sb="2" eb="3">
      <t>ヒ</t>
    </rPh>
    <phoneticPr fontId="2"/>
  </si>
  <si>
    <t>金額</t>
    <rPh sb="0" eb="2">
      <t>キンガク</t>
    </rPh>
    <phoneticPr fontId="2"/>
  </si>
  <si>
    <t>単価（\）</t>
    <rPh sb="0" eb="2">
      <t>タンカ</t>
    </rPh>
    <phoneticPr fontId="2"/>
  </si>
  <si>
    <t>実地研修中</t>
    <rPh sb="0" eb="2">
      <t>ジッチ</t>
    </rPh>
    <rPh sb="2" eb="5">
      <t>ケンシュウチュウ</t>
    </rPh>
    <phoneticPr fontId="2"/>
  </si>
  <si>
    <t>宿舎費+食費</t>
    <rPh sb="0" eb="2">
      <t>シュクシャ</t>
    </rPh>
    <rPh sb="2" eb="3">
      <t>ヒ</t>
    </rPh>
    <rPh sb="4" eb="6">
      <t>ショクヒ</t>
    </rPh>
    <phoneticPr fontId="2"/>
  </si>
  <si>
    <t>センター滞在中</t>
    <rPh sb="4" eb="7">
      <t>タイザイチュウ</t>
    </rPh>
    <phoneticPr fontId="2"/>
  </si>
  <si>
    <t>研修旅行中</t>
    <rPh sb="0" eb="2">
      <t>ケンシュウ</t>
    </rPh>
    <rPh sb="2" eb="4">
      <t>リョコウ</t>
    </rPh>
    <rPh sb="4" eb="5">
      <t>チュウ</t>
    </rPh>
    <phoneticPr fontId="2"/>
  </si>
  <si>
    <t>食費</t>
  </si>
  <si>
    <t>受入企業負担額</t>
    <rPh sb="0" eb="2">
      <t>ウケイレ</t>
    </rPh>
    <rPh sb="2" eb="4">
      <t>キギョウ</t>
    </rPh>
    <rPh sb="4" eb="6">
      <t>フタン</t>
    </rPh>
    <rPh sb="6" eb="7">
      <t>ガク</t>
    </rPh>
    <phoneticPr fontId="2"/>
  </si>
  <si>
    <t>日数/回</t>
    <rPh sb="0" eb="2">
      <t>ニッスウ</t>
    </rPh>
    <rPh sb="3" eb="4">
      <t>カイ</t>
    </rPh>
    <phoneticPr fontId="2"/>
  </si>
  <si>
    <t>補助率：</t>
    <rPh sb="0" eb="2">
      <t>ホジョ</t>
    </rPh>
    <rPh sb="2" eb="3">
      <t>リツ</t>
    </rPh>
    <phoneticPr fontId="2"/>
  </si>
  <si>
    <t>負担率：</t>
    <rPh sb="0" eb="2">
      <t>フタン</t>
    </rPh>
    <phoneticPr fontId="2"/>
  </si>
  <si>
    <t>（国庫補助金）</t>
    <rPh sb="1" eb="3">
      <t>コッコ</t>
    </rPh>
    <rPh sb="3" eb="6">
      <t>ホジョキン</t>
    </rPh>
    <phoneticPr fontId="2"/>
  </si>
  <si>
    <t>食費</t>
    <rPh sb="0" eb="2">
      <t>ショクヒ</t>
    </rPh>
    <phoneticPr fontId="2"/>
  </si>
  <si>
    <t>【計算結果】</t>
    <rPh sb="1" eb="3">
      <t>ケイサン</t>
    </rPh>
    <rPh sb="3" eb="5">
      <t>ケッカ</t>
    </rPh>
    <phoneticPr fontId="2"/>
  </si>
  <si>
    <t>円／泊</t>
    <rPh sb="0" eb="1">
      <t>エン</t>
    </rPh>
    <rPh sb="2" eb="3">
      <t>ハク</t>
    </rPh>
    <phoneticPr fontId="2"/>
  </si>
  <si>
    <t>研修旅行中</t>
    <rPh sb="0" eb="2">
      <t>ケンシュウ</t>
    </rPh>
    <rPh sb="2" eb="5">
      <t>リョコウチュウ</t>
    </rPh>
    <phoneticPr fontId="2"/>
  </si>
  <si>
    <t>受入会社施設</t>
    <rPh sb="0" eb="2">
      <t>ウケイレ</t>
    </rPh>
    <rPh sb="2" eb="4">
      <t>カイシャ</t>
    </rPh>
    <rPh sb="4" eb="6">
      <t>シセツ</t>
    </rPh>
    <phoneticPr fontId="2"/>
  </si>
  <si>
    <t>外部宿舎</t>
    <rPh sb="0" eb="2">
      <t>ガイブ</t>
    </rPh>
    <rPh sb="2" eb="4">
      <t>シュクシャ</t>
    </rPh>
    <phoneticPr fontId="2"/>
  </si>
  <si>
    <t>備考</t>
    <rPh sb="0" eb="2">
      <t>ビコウ</t>
    </rPh>
    <phoneticPr fontId="2"/>
  </si>
  <si>
    <t>日</t>
    <rPh sb="0" eb="1">
      <t>ニチ</t>
    </rPh>
    <phoneticPr fontId="2"/>
  </si>
  <si>
    <t>以外</t>
    <rPh sb="0" eb="2">
      <t>イガイ</t>
    </rPh>
    <phoneticPr fontId="2"/>
  </si>
  <si>
    <t>年月</t>
    <rPh sb="0" eb="1">
      <t>ネン</t>
    </rPh>
    <rPh sb="1" eb="2">
      <t>ツキ</t>
    </rPh>
    <phoneticPr fontId="2"/>
  </si>
  <si>
    <t>1回</t>
    <rPh sb="1" eb="2">
      <t>カイ</t>
    </rPh>
    <phoneticPr fontId="2"/>
  </si>
  <si>
    <t>対象期間：</t>
    <rPh sb="0" eb="2">
      <t>タイショウ</t>
    </rPh>
    <rPh sb="2" eb="4">
      <t>キカン</t>
    </rPh>
    <phoneticPr fontId="2"/>
  </si>
  <si>
    <t>実地研修開始日</t>
    <rPh sb="0" eb="2">
      <t>ジッチ</t>
    </rPh>
    <rPh sb="2" eb="4">
      <t>ケンシュウ</t>
    </rPh>
    <rPh sb="4" eb="6">
      <t>カイシ</t>
    </rPh>
    <rPh sb="6" eb="7">
      <t>ビ</t>
    </rPh>
    <phoneticPr fontId="2"/>
  </si>
  <si>
    <t>項番</t>
    <rPh sb="0" eb="1">
      <t>コウ</t>
    </rPh>
    <rPh sb="1" eb="2">
      <t>バン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</si>
  <si>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</si>
  <si>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</si>
  <si>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場所</t>
    <rPh sb="0" eb="2">
      <t>バショ</t>
    </rPh>
    <phoneticPr fontId="2"/>
  </si>
  <si>
    <t>月末日</t>
    <rPh sb="0" eb="1">
      <t>ゲツ</t>
    </rPh>
    <rPh sb="1" eb="3">
      <t>マツジツ</t>
    </rPh>
    <phoneticPr fontId="2"/>
  </si>
  <si>
    <t>期間</t>
    <rPh sb="0" eb="2">
      <t>キカン</t>
    </rPh>
    <phoneticPr fontId="2"/>
  </si>
  <si>
    <t>研修日数</t>
    <rPh sb="0" eb="2">
      <t>ケンシュウ</t>
    </rPh>
    <rPh sb="2" eb="4">
      <t>ニッスウ</t>
    </rPh>
    <phoneticPr fontId="2"/>
  </si>
  <si>
    <t>実地研修
日数</t>
    <rPh sb="0" eb="2">
      <t>ジッチ</t>
    </rPh>
    <rPh sb="2" eb="4">
      <t>ケンシュウ</t>
    </rPh>
    <rPh sb="5" eb="7">
      <t>ニッスウ</t>
    </rPh>
    <phoneticPr fontId="2"/>
  </si>
  <si>
    <t>一般研修
日数</t>
    <rPh sb="0" eb="2">
      <t>イッパン</t>
    </rPh>
    <rPh sb="2" eb="4">
      <t>ケンシュウ</t>
    </rPh>
    <rPh sb="5" eb="7">
      <t>ニッスウ</t>
    </rPh>
    <phoneticPr fontId="2"/>
  </si>
  <si>
    <t>チェックイン当日
（宿舎費+食費）</t>
    <rPh sb="6" eb="8">
      <t>トウジツ</t>
    </rPh>
    <rPh sb="10" eb="12">
      <t>シュクシャ</t>
    </rPh>
    <rPh sb="12" eb="13">
      <t>ヒ</t>
    </rPh>
    <rPh sb="14" eb="16">
      <t>ショクヒ</t>
    </rPh>
    <phoneticPr fontId="2"/>
  </si>
  <si>
    <t>センター滞在中
（宿舎費+食費）</t>
    <rPh sb="4" eb="7">
      <t>タイザイチュウ</t>
    </rPh>
    <rPh sb="9" eb="11">
      <t>シュクシャ</t>
    </rPh>
    <rPh sb="11" eb="12">
      <t>ヒ</t>
    </rPh>
    <rPh sb="13" eb="15">
      <t>ショクヒ</t>
    </rPh>
    <phoneticPr fontId="2"/>
  </si>
  <si>
    <t>【日程表】</t>
    <rPh sb="1" eb="3">
      <t>ニッテイ</t>
    </rPh>
    <rPh sb="3" eb="4">
      <t>ヒョウ</t>
    </rPh>
    <phoneticPr fontId="2"/>
  </si>
  <si>
    <t>閏年
対象月？</t>
    <rPh sb="0" eb="2">
      <t>ウルウドシ</t>
    </rPh>
    <rPh sb="3" eb="5">
      <t>タイショウ</t>
    </rPh>
    <rPh sb="5" eb="6">
      <t>ツキ</t>
    </rPh>
    <phoneticPr fontId="2"/>
  </si>
  <si>
    <t>区分</t>
    <rPh sb="0" eb="2">
      <t>クブン</t>
    </rPh>
    <phoneticPr fontId="2"/>
  </si>
  <si>
    <t>支払額</t>
    <rPh sb="0" eb="2">
      <t>シハライ</t>
    </rPh>
    <phoneticPr fontId="2"/>
  </si>
  <si>
    <t>実地研修</t>
    <rPh sb="0" eb="2">
      <t>ジッチ</t>
    </rPh>
    <rPh sb="2" eb="4">
      <t>ケンシュウ</t>
    </rPh>
    <phoneticPr fontId="2"/>
  </si>
  <si>
    <t>作成日：</t>
    <rPh sb="0" eb="3">
      <t>サクセイビ</t>
    </rPh>
    <phoneticPr fontId="2"/>
  </si>
  <si>
    <r>
      <t>1)　受入費等支出明細　</t>
    </r>
    <r>
      <rPr>
        <sz val="10"/>
        <rFont val="ＭＳ Ｐゴシック"/>
        <family val="3"/>
        <charset val="128"/>
      </rPr>
      <t>[コース開始前日にチェックイン、コース終了翌日にチェックアウトしたものとして設定]</t>
    </r>
    <rPh sb="3" eb="5">
      <t>ウケイレ</t>
    </rPh>
    <rPh sb="5" eb="6">
      <t>ヒ</t>
    </rPh>
    <rPh sb="6" eb="7">
      <t>トウ</t>
    </rPh>
    <rPh sb="7" eb="9">
      <t>シシュツ</t>
    </rPh>
    <rPh sb="9" eb="11">
      <t>メイサイ</t>
    </rPh>
    <phoneticPr fontId="2"/>
  </si>
  <si>
    <t>【試算条件】</t>
    <rPh sb="1" eb="3">
      <t>シサン</t>
    </rPh>
    <rPh sb="3" eb="5">
      <t>ジョウケン</t>
    </rPh>
    <phoneticPr fontId="2"/>
  </si>
  <si>
    <t>：手入力</t>
    <rPh sb="1" eb="2">
      <t>テ</t>
    </rPh>
    <rPh sb="2" eb="4">
      <t>ニュウリョク</t>
    </rPh>
    <phoneticPr fontId="2"/>
  </si>
  <si>
    <t>日数
(来日日含む)</t>
    <rPh sb="0" eb="2">
      <t>ニッスウ</t>
    </rPh>
    <rPh sb="4" eb="6">
      <t>ライニチ</t>
    </rPh>
    <rPh sb="6" eb="7">
      <t>ビ</t>
    </rPh>
    <rPh sb="7" eb="8">
      <t>フク</t>
    </rPh>
    <phoneticPr fontId="2"/>
  </si>
  <si>
    <t>来日日</t>
    <rPh sb="0" eb="2">
      <t>ライニチ</t>
    </rPh>
    <rPh sb="2" eb="3">
      <t>ヒ</t>
    </rPh>
    <phoneticPr fontId="2"/>
  </si>
  <si>
    <t>円</t>
    <rPh sb="0" eb="1">
      <t>エン</t>
    </rPh>
    <phoneticPr fontId="2"/>
  </si>
  <si>
    <t>3. 最後の宿泊場所～離日空港間：</t>
    <rPh sb="3" eb="5">
      <t>サイゴ</t>
    </rPh>
    <rPh sb="6" eb="8">
      <t>シュクハク</t>
    </rPh>
    <rPh sb="8" eb="10">
      <t>バショ</t>
    </rPh>
    <rPh sb="11" eb="13">
      <t>リニチ</t>
    </rPh>
    <rPh sb="13" eb="15">
      <t>クウコウ</t>
    </rPh>
    <rPh sb="15" eb="16">
      <t>カン</t>
    </rPh>
    <phoneticPr fontId="2"/>
  </si>
  <si>
    <t>2. 研修ｾﾝﾀｰ～最初の実地研修地間：</t>
    <rPh sb="3" eb="5">
      <t>ケンシュウ</t>
    </rPh>
    <rPh sb="10" eb="12">
      <t>サイショ</t>
    </rPh>
    <rPh sb="13" eb="15">
      <t>ジッチ</t>
    </rPh>
    <rPh sb="15" eb="17">
      <t>ケンシュウ</t>
    </rPh>
    <rPh sb="17" eb="18">
      <t>チ</t>
    </rPh>
    <rPh sb="18" eb="19">
      <t>カン</t>
    </rPh>
    <phoneticPr fontId="2"/>
  </si>
  <si>
    <t>（受入費等 計：①）</t>
    <rPh sb="1" eb="3">
      <t>ウケイレ</t>
    </rPh>
    <rPh sb="3" eb="5">
      <t>ヒナド</t>
    </rPh>
    <rPh sb="6" eb="7">
      <t>ケイ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</si>
  <si>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</si>
  <si>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</si>
  <si>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</si>
  <si>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</si>
  <si>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</si>
  <si>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</si>
  <si>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</si>
  <si>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</si>
  <si>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</si>
  <si>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</si>
  <si>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</si>
  <si>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</si>
  <si>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月</t>
    <rPh sb="0" eb="1">
      <t>ツキ</t>
    </rPh>
    <phoneticPr fontId="2"/>
  </si>
  <si>
    <t>項目</t>
    <rPh sb="0" eb="2">
      <t>コウモク</t>
    </rPh>
    <phoneticPr fontId="2"/>
  </si>
  <si>
    <t>データ</t>
    <phoneticPr fontId="2"/>
  </si>
  <si>
    <t>来日日含む</t>
    <rPh sb="0" eb="2">
      <t>ライニチ</t>
    </rPh>
    <rPh sb="2" eb="3">
      <t>ビ</t>
    </rPh>
    <rPh sb="3" eb="4">
      <t>フク</t>
    </rPh>
    <phoneticPr fontId="2"/>
  </si>
  <si>
    <t>月日数</t>
    <rPh sb="0" eb="1">
      <t>ツキ</t>
    </rPh>
    <rPh sb="1" eb="3">
      <t>ニッスウ</t>
    </rPh>
    <phoneticPr fontId="2"/>
  </si>
  <si>
    <t>標準日数</t>
    <rPh sb="0" eb="2">
      <t>ヒョウジュン</t>
    </rPh>
    <rPh sb="2" eb="4">
      <t>ニッスウ</t>
    </rPh>
    <phoneticPr fontId="2"/>
  </si>
  <si>
    <t>【月別標準日数】</t>
    <rPh sb="1" eb="2">
      <t>ツキ</t>
    </rPh>
    <rPh sb="2" eb="3">
      <t>ベツ</t>
    </rPh>
    <rPh sb="3" eb="5">
      <t>ヒョウジュン</t>
    </rPh>
    <rPh sb="5" eb="7">
      <t>ニッスウ</t>
    </rPh>
    <phoneticPr fontId="2"/>
  </si>
  <si>
    <t>年(*1)</t>
    <rPh sb="0" eb="1">
      <t>ネン</t>
    </rPh>
    <phoneticPr fontId="2"/>
  </si>
  <si>
    <t>月(*2)</t>
    <rPh sb="0" eb="1">
      <t>ツキ</t>
    </rPh>
    <phoneticPr fontId="2"/>
  </si>
  <si>
    <t>年月日
（(*1),(*2),(*3）をｼﾘｱﾙ値変換）</t>
    <rPh sb="0" eb="3">
      <t>ネンガッピ</t>
    </rPh>
    <phoneticPr fontId="2"/>
  </si>
  <si>
    <t>日数/月
(*3)</t>
    <rPh sb="0" eb="2">
      <t>ニッスウ</t>
    </rPh>
    <rPh sb="3" eb="4">
      <t>ゲツ</t>
    </rPh>
    <phoneticPr fontId="2"/>
  </si>
  <si>
    <t>年&amp;月
(*1)&amp;(*2)</t>
    <rPh sb="0" eb="1">
      <t>ネン</t>
    </rPh>
    <rPh sb="2" eb="3">
      <t>ツキ</t>
    </rPh>
    <phoneticPr fontId="2"/>
  </si>
  <si>
    <t>研修終了日</t>
    <rPh sb="0" eb="2">
      <t>ケンシュウ</t>
    </rPh>
    <rPh sb="2" eb="5">
      <t>シュウリョウビ</t>
    </rPh>
    <phoneticPr fontId="2"/>
  </si>
  <si>
    <t>センター滞在中</t>
    <rPh sb="4" eb="6">
      <t>タイザイ</t>
    </rPh>
    <rPh sb="6" eb="7">
      <t>チュウ</t>
    </rPh>
    <phoneticPr fontId="2"/>
  </si>
  <si>
    <t>年度：</t>
    <rPh sb="0" eb="2">
      <t>ネンド</t>
    </rPh>
    <phoneticPr fontId="2"/>
  </si>
  <si>
    <t>研修旅行中</t>
  </si>
  <si>
    <t>計（円）</t>
    <rPh sb="0" eb="1">
      <t>ケイ</t>
    </rPh>
    <rPh sb="2" eb="3">
      <t>エン</t>
    </rPh>
    <phoneticPr fontId="2"/>
  </si>
  <si>
    <t>日数</t>
    <rPh sb="0" eb="2">
      <t>ニッスウ</t>
    </rPh>
    <phoneticPr fontId="2"/>
  </si>
  <si>
    <t>月別受入費等明細</t>
    <rPh sb="0" eb="2">
      <t>ツキベツ</t>
    </rPh>
    <rPh sb="2" eb="4">
      <t>ウケイレ</t>
    </rPh>
    <rPh sb="4" eb="5">
      <t>ヒ</t>
    </rPh>
    <rPh sb="5" eb="6">
      <t>トウ</t>
    </rPh>
    <rPh sb="6" eb="8">
      <t>メイサイ</t>
    </rPh>
    <phoneticPr fontId="2"/>
  </si>
  <si>
    <t>：J13W費用試算シート 【試算条件】での選択値</t>
    <rPh sb="5" eb="7">
      <t>ヒヨウ</t>
    </rPh>
    <rPh sb="7" eb="9">
      <t>シサン</t>
    </rPh>
    <rPh sb="14" eb="16">
      <t>シサン</t>
    </rPh>
    <rPh sb="16" eb="18">
      <t>ジョウケン</t>
    </rPh>
    <rPh sb="21" eb="23">
      <t>センタク</t>
    </rPh>
    <rPh sb="23" eb="24">
      <t>チ</t>
    </rPh>
    <phoneticPr fontId="2"/>
  </si>
  <si>
    <t>計（①）</t>
    <phoneticPr fontId="2"/>
  </si>
  <si>
    <t>累計差引支払額(※)</t>
    <rPh sb="0" eb="2">
      <t>ルイケイ</t>
    </rPh>
    <rPh sb="2" eb="4">
      <t>サシヒキ</t>
    </rPh>
    <rPh sb="4" eb="6">
      <t>シハライ</t>
    </rPh>
    <rPh sb="6" eb="7">
      <t>ガク</t>
    </rPh>
    <phoneticPr fontId="2"/>
  </si>
  <si>
    <t>空港</t>
    <rPh sb="0" eb="2">
      <t>クウコウ</t>
    </rPh>
    <phoneticPr fontId="2"/>
  </si>
  <si>
    <t>研修センター</t>
    <rPh sb="0" eb="2">
      <t>ケンシュウ</t>
    </rPh>
    <phoneticPr fontId="2"/>
  </si>
  <si>
    <t>TKC</t>
    <phoneticPr fontId="2"/>
  </si>
  <si>
    <t>成田</t>
    <rPh sb="0" eb="2">
      <t>ナリタ</t>
    </rPh>
    <phoneticPr fontId="2"/>
  </si>
  <si>
    <t>関西</t>
    <rPh sb="0" eb="2">
      <t>カンサイ</t>
    </rPh>
    <phoneticPr fontId="2"/>
  </si>
  <si>
    <t>研修ｾﾝﾀｰ～実地研修地間</t>
    <rPh sb="0" eb="2">
      <t>ケンシュウ</t>
    </rPh>
    <rPh sb="7" eb="9">
      <t>ジッチ</t>
    </rPh>
    <rPh sb="9" eb="11">
      <t>ケンシュウ</t>
    </rPh>
    <rPh sb="11" eb="12">
      <t>チ</t>
    </rPh>
    <rPh sb="12" eb="13">
      <t>カン</t>
    </rPh>
    <phoneticPr fontId="2"/>
  </si>
  <si>
    <t>宿泊場所～離日空港間</t>
    <rPh sb="0" eb="2">
      <t>シュクハク</t>
    </rPh>
    <rPh sb="2" eb="4">
      <t>バショ</t>
    </rPh>
    <rPh sb="5" eb="7">
      <t>リニチ</t>
    </rPh>
    <rPh sb="7" eb="9">
      <t>クウコウ</t>
    </rPh>
    <rPh sb="9" eb="10">
      <t>カン</t>
    </rPh>
    <phoneticPr fontId="2"/>
  </si>
  <si>
    <t>1. 来日空港～研修ｾﾝﾀｰ間：</t>
    <rPh sb="3" eb="5">
      <t>ライニチ</t>
    </rPh>
    <rPh sb="5" eb="7">
      <t>クウコウ</t>
    </rPh>
    <phoneticPr fontId="2"/>
  </si>
  <si>
    <t>KKC</t>
  </si>
  <si>
    <t>補助率</t>
    <rPh sb="0" eb="3">
      <t>ホジョリツ</t>
    </rPh>
    <phoneticPr fontId="2"/>
  </si>
  <si>
    <t>企業負担</t>
    <rPh sb="0" eb="2">
      <t>キギョウ</t>
    </rPh>
    <rPh sb="2" eb="4">
      <t>フタン</t>
    </rPh>
    <phoneticPr fontId="2"/>
  </si>
  <si>
    <t>国庫補助額</t>
    <rPh sb="0" eb="2">
      <t>コッコ</t>
    </rPh>
    <rPh sb="2" eb="4">
      <t>ホジョ</t>
    </rPh>
    <rPh sb="4" eb="5">
      <t>ガク</t>
    </rPh>
    <phoneticPr fontId="2"/>
  </si>
  <si>
    <t>実地研修中外部宿舎費（補助対象分）</t>
    <rPh sb="5" eb="7">
      <t>ガイブ</t>
    </rPh>
    <phoneticPr fontId="2"/>
  </si>
  <si>
    <t>TKC</t>
  </si>
  <si>
    <t>【国内移動費基準額】　（2014.04現在）</t>
    <rPh sb="1" eb="3">
      <t>コクナイ</t>
    </rPh>
    <rPh sb="3" eb="5">
      <t>イドウ</t>
    </rPh>
    <rPh sb="5" eb="6">
      <t>ヒ</t>
    </rPh>
    <rPh sb="6" eb="8">
      <t>キジュン</t>
    </rPh>
    <rPh sb="8" eb="9">
      <t>ガク</t>
    </rPh>
    <rPh sb="19" eb="21">
      <t>ゲンザイ</t>
    </rPh>
    <phoneticPr fontId="2"/>
  </si>
  <si>
    <t>費目</t>
    <rPh sb="0" eb="1">
      <t>ヒ</t>
    </rPh>
    <rPh sb="1" eb="2">
      <t>メ</t>
    </rPh>
    <phoneticPr fontId="2"/>
  </si>
  <si>
    <t>【国内移動費】</t>
    <phoneticPr fontId="2"/>
  </si>
  <si>
    <t>研修センター</t>
    <phoneticPr fontId="2"/>
  </si>
  <si>
    <t>【実地研修中宿舎】</t>
    <rPh sb="1" eb="3">
      <t>ジッチ</t>
    </rPh>
    <rPh sb="3" eb="6">
      <t>ケンシュウチュウ</t>
    </rPh>
    <rPh sb="6" eb="8">
      <t>シュクシャ</t>
    </rPh>
    <phoneticPr fontId="2"/>
  </si>
  <si>
    <t>渡航費</t>
    <rPh sb="0" eb="3">
      <t>トコウヒ</t>
    </rPh>
    <phoneticPr fontId="2"/>
  </si>
  <si>
    <t>合計</t>
    <rPh sb="0" eb="1">
      <t>ゴウ</t>
    </rPh>
    <rPh sb="1" eb="2">
      <t>ケイ</t>
    </rPh>
    <phoneticPr fontId="2"/>
  </si>
  <si>
    <t>基準額</t>
    <rPh sb="0" eb="2">
      <t>キジュン</t>
    </rPh>
    <rPh sb="2" eb="3">
      <t>ガク</t>
    </rPh>
    <phoneticPr fontId="2"/>
  </si>
  <si>
    <t>(1往復)</t>
  </si>
  <si>
    <t>国庫補助金</t>
    <rPh sb="0" eb="2">
      <t>コッコ</t>
    </rPh>
    <rPh sb="2" eb="4">
      <t>ホジョ</t>
    </rPh>
    <rPh sb="4" eb="5">
      <t>キン</t>
    </rPh>
    <phoneticPr fontId="2"/>
  </si>
  <si>
    <t>航空券代</t>
    <rPh sb="0" eb="3">
      <t>コウクウケン</t>
    </rPh>
    <rPh sb="3" eb="4">
      <t>ダイ</t>
    </rPh>
    <phoneticPr fontId="27"/>
  </si>
  <si>
    <t>実地研修費用</t>
    <rPh sb="0" eb="2">
      <t>ジッチ</t>
    </rPh>
    <rPh sb="2" eb="4">
      <t>ケンシュウ</t>
    </rPh>
    <rPh sb="4" eb="6">
      <t>ヒヨウ</t>
    </rPh>
    <phoneticPr fontId="27"/>
  </si>
  <si>
    <t>受入企業が研修生や業者へ支払う</t>
    <rPh sb="0" eb="2">
      <t>ウケイレ</t>
    </rPh>
    <rPh sb="2" eb="4">
      <t>キギョウ</t>
    </rPh>
    <rPh sb="5" eb="8">
      <t>ケンシュウセイ</t>
    </rPh>
    <rPh sb="9" eb="11">
      <t>ギョウシャ</t>
    </rPh>
    <rPh sb="12" eb="14">
      <t>シハラ</t>
    </rPh>
    <phoneticPr fontId="27"/>
  </si>
  <si>
    <t>国内移動費</t>
    <rPh sb="0" eb="2">
      <t>コクナイ</t>
    </rPh>
    <rPh sb="2" eb="4">
      <t>イドウ</t>
    </rPh>
    <rPh sb="4" eb="5">
      <t>ヒ</t>
    </rPh>
    <phoneticPr fontId="27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</si>
  <si>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</si>
  <si>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</si>
  <si>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</si>
  <si>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食費</t>
    <rPh sb="0" eb="2">
      <t>ショクヒ</t>
    </rPh>
    <phoneticPr fontId="2"/>
  </si>
  <si>
    <t>宿泊費</t>
    <rPh sb="0" eb="3">
      <t>シュクハクヒ</t>
    </rPh>
    <phoneticPr fontId="2"/>
  </si>
  <si>
    <t>【研修申込区分】</t>
    <rPh sb="1" eb="3">
      <t>ケンシュウ</t>
    </rPh>
    <rPh sb="3" eb="5">
      <t>モウシコミ</t>
    </rPh>
    <rPh sb="5" eb="7">
      <t>クブン</t>
    </rPh>
    <phoneticPr fontId="2"/>
  </si>
  <si>
    <t>研修申込区分</t>
    <rPh sb="0" eb="2">
      <t>ケンシュウ</t>
    </rPh>
    <rPh sb="2" eb="4">
      <t>モウシコミ</t>
    </rPh>
    <rPh sb="4" eb="6">
      <t>クブン</t>
    </rPh>
    <phoneticPr fontId="2"/>
  </si>
  <si>
    <t>研修旅行中</t>
    <phoneticPr fontId="2"/>
  </si>
  <si>
    <t>企業名　：</t>
    <rPh sb="0" eb="2">
      <t>キギョウ</t>
    </rPh>
    <rPh sb="2" eb="3">
      <t>メイ</t>
    </rPh>
    <phoneticPr fontId="2"/>
  </si>
  <si>
    <t>研修申込区分　：</t>
    <rPh sb="0" eb="2">
      <t>ケンシュウ</t>
    </rPh>
    <rPh sb="2" eb="3">
      <t>モウ</t>
    </rPh>
    <rPh sb="3" eb="4">
      <t>コミ</t>
    </rPh>
    <phoneticPr fontId="2"/>
  </si>
  <si>
    <t>来日日　：</t>
    <rPh sb="0" eb="2">
      <t>ライニチ</t>
    </rPh>
    <rPh sb="2" eb="3">
      <t>ビ</t>
    </rPh>
    <phoneticPr fontId="2"/>
  </si>
  <si>
    <t xml:space="preserve"> 実地研修費</t>
    <rPh sb="1" eb="3">
      <t>ジッチ</t>
    </rPh>
    <rPh sb="3" eb="5">
      <t>ケンシュウ</t>
    </rPh>
    <rPh sb="5" eb="6">
      <t>ヒ</t>
    </rPh>
    <phoneticPr fontId="27"/>
  </si>
  <si>
    <t>国内移動費</t>
    <rPh sb="0" eb="2">
      <t>コクナイ</t>
    </rPh>
    <rPh sb="2" eb="4">
      <t>イドウ</t>
    </rPh>
    <rPh sb="4" eb="5">
      <t>ヒ</t>
    </rPh>
    <phoneticPr fontId="2"/>
  </si>
  <si>
    <t>受入費等基準額</t>
    <rPh sb="0" eb="2">
      <t>ウケイレ</t>
    </rPh>
    <rPh sb="2" eb="3">
      <t>ヒ</t>
    </rPh>
    <rPh sb="3" eb="4">
      <t>トウ</t>
    </rPh>
    <rPh sb="4" eb="6">
      <t>キジュン</t>
    </rPh>
    <rPh sb="6" eb="7">
      <t>ガク</t>
    </rPh>
    <phoneticPr fontId="27"/>
  </si>
  <si>
    <t>来日日からの
日数</t>
    <rPh sb="0" eb="2">
      <t>ライニチ</t>
    </rPh>
    <rPh sb="2" eb="3">
      <t>ヒ</t>
    </rPh>
    <rPh sb="7" eb="9">
      <t>ニッスウ</t>
    </rPh>
    <phoneticPr fontId="2"/>
  </si>
  <si>
    <t>【費用の使途(支払先別)】</t>
    <rPh sb="1" eb="3">
      <t>ヒヨウ</t>
    </rPh>
    <rPh sb="4" eb="6">
      <t>シト</t>
    </rPh>
    <rPh sb="7" eb="9">
      <t>シハライ</t>
    </rPh>
    <rPh sb="9" eb="10">
      <t>サキ</t>
    </rPh>
    <rPh sb="10" eb="11">
      <t>ベツ</t>
    </rPh>
    <phoneticPr fontId="2"/>
  </si>
  <si>
    <t>支払先</t>
    <rPh sb="0" eb="2">
      <t>シハライ</t>
    </rPh>
    <rPh sb="2" eb="3">
      <t>サキ</t>
    </rPh>
    <phoneticPr fontId="2"/>
  </si>
  <si>
    <t>費　　目</t>
    <rPh sb="0" eb="1">
      <t>ヒ</t>
    </rPh>
    <rPh sb="3" eb="4">
      <t>メ</t>
    </rPh>
    <phoneticPr fontId="2"/>
  </si>
  <si>
    <t>支出額</t>
    <rPh sb="0" eb="2">
      <t>シシュツ</t>
    </rPh>
    <rPh sb="2" eb="3">
      <t>ガク</t>
    </rPh>
    <phoneticPr fontId="2"/>
  </si>
  <si>
    <t>備　　考</t>
    <rPh sb="0" eb="1">
      <t>ソナエ</t>
    </rPh>
    <rPh sb="3" eb="4">
      <t>コウ</t>
    </rPh>
    <phoneticPr fontId="2"/>
  </si>
  <si>
    <t>旅費</t>
    <rPh sb="0" eb="2">
      <t>リョヒ</t>
    </rPh>
    <phoneticPr fontId="2"/>
  </si>
  <si>
    <t>旅行代理店等</t>
    <rPh sb="0" eb="2">
      <t>リョコウ</t>
    </rPh>
    <rPh sb="2" eb="4">
      <t>ダイリ</t>
    </rPh>
    <rPh sb="4" eb="5">
      <t>テン</t>
    </rPh>
    <rPh sb="5" eb="6">
      <t>トウ</t>
    </rPh>
    <phoneticPr fontId="2"/>
  </si>
  <si>
    <t>渡航費</t>
    <rPh sb="0" eb="2">
      <t>トコウ</t>
    </rPh>
    <rPh sb="2" eb="3">
      <t>ヒ</t>
    </rPh>
    <phoneticPr fontId="2"/>
  </si>
  <si>
    <t>研修生へは現物提供</t>
    <rPh sb="0" eb="3">
      <t>ケンシュウセイ</t>
    </rPh>
    <rPh sb="5" eb="7">
      <t>ゲンブツ</t>
    </rPh>
    <rPh sb="7" eb="9">
      <t>テイキョウ</t>
    </rPh>
    <phoneticPr fontId="2"/>
  </si>
  <si>
    <t>JR等</t>
    <rPh sb="2" eb="3">
      <t>トウ</t>
    </rPh>
    <phoneticPr fontId="2"/>
  </si>
  <si>
    <t>合　　計</t>
    <rPh sb="0" eb="1">
      <t>ア</t>
    </rPh>
    <rPh sb="3" eb="4">
      <t>ケイ</t>
    </rPh>
    <phoneticPr fontId="2"/>
  </si>
  <si>
    <t>Ⅲ．</t>
    <phoneticPr fontId="2"/>
  </si>
  <si>
    <t>外部宿舎費（上で｢外部宿舎｣を選択の場合）：</t>
    <rPh sb="0" eb="2">
      <t>ガイブ</t>
    </rPh>
    <rPh sb="2" eb="4">
      <t>シュクシャ</t>
    </rPh>
    <rPh sb="4" eb="5">
      <t>ヒ</t>
    </rPh>
    <rPh sb="9" eb="11">
      <t>ガイブ</t>
    </rPh>
    <rPh sb="11" eb="13">
      <t>シュクシャ</t>
    </rPh>
    <phoneticPr fontId="2"/>
  </si>
  <si>
    <r>
      <t>実地研修中 宿舎費</t>
    </r>
    <r>
      <rPr>
        <sz val="9"/>
        <rFont val="ＭＳ Ｐゴシック"/>
        <family val="3"/>
        <charset val="128"/>
      </rPr>
      <t>(外部宿舎利用時)</t>
    </r>
    <rPh sb="0" eb="2">
      <t>ジッチ</t>
    </rPh>
    <rPh sb="2" eb="5">
      <t>ケンシュウチュウ</t>
    </rPh>
    <rPh sb="6" eb="8">
      <t>シュクシャ</t>
    </rPh>
    <rPh sb="8" eb="9">
      <t>ヒ</t>
    </rPh>
    <rPh sb="10" eb="12">
      <t>ガイブ</t>
    </rPh>
    <rPh sb="12" eb="14">
      <t>シュクシャ</t>
    </rPh>
    <rPh sb="14" eb="16">
      <t>リヨウ</t>
    </rPh>
    <rPh sb="16" eb="17">
      <t>ジ</t>
    </rPh>
    <phoneticPr fontId="2"/>
  </si>
  <si>
    <t>商業ホテル、旅館等</t>
    <rPh sb="0" eb="2">
      <t>ショウギョウ</t>
    </rPh>
    <rPh sb="6" eb="8">
      <t>リョカン</t>
    </rPh>
    <rPh sb="8" eb="9">
      <t>トウ</t>
    </rPh>
    <phoneticPr fontId="2"/>
  </si>
  <si>
    <t>生活費</t>
    <rPh sb="0" eb="3">
      <t>セイカツヒ</t>
    </rPh>
    <phoneticPr fontId="2"/>
  </si>
  <si>
    <t>研修生</t>
    <rPh sb="0" eb="3">
      <t>ケンシュウセイ</t>
    </rPh>
    <phoneticPr fontId="2"/>
  </si>
  <si>
    <t>実地研修中 食費</t>
    <rPh sb="0" eb="2">
      <t>ジッチ</t>
    </rPh>
    <rPh sb="2" eb="5">
      <t>ケンシュウチュウ</t>
    </rPh>
    <rPh sb="6" eb="8">
      <t>ショクヒ</t>
    </rPh>
    <phoneticPr fontId="2"/>
  </si>
  <si>
    <t>現金払い</t>
    <rPh sb="0" eb="2">
      <t>ゲンキン</t>
    </rPh>
    <rPh sb="2" eb="3">
      <t>バラ</t>
    </rPh>
    <phoneticPr fontId="2"/>
  </si>
  <si>
    <t>Ⅵ．</t>
    <phoneticPr fontId="2"/>
  </si>
  <si>
    <t>渡航費　：</t>
    <phoneticPr fontId="2"/>
  </si>
  <si>
    <t>研修費等</t>
    <rPh sb="0" eb="2">
      <t>ケンシュウ</t>
    </rPh>
    <rPh sb="2" eb="3">
      <t>ヒ</t>
    </rPh>
    <rPh sb="3" eb="4">
      <t>トウ</t>
    </rPh>
    <phoneticPr fontId="2"/>
  </si>
  <si>
    <t>受入企業</t>
    <rPh sb="0" eb="2">
      <t>ウケイレ</t>
    </rPh>
    <rPh sb="2" eb="4">
      <t>キギョウ</t>
    </rPh>
    <phoneticPr fontId="2"/>
  </si>
  <si>
    <t>指導員人件費、作業着、テキスト等</t>
    <rPh sb="0" eb="3">
      <t>シドウイン</t>
    </rPh>
    <rPh sb="3" eb="6">
      <t>ジンケンヒ</t>
    </rPh>
    <rPh sb="7" eb="10">
      <t>サギョウギ</t>
    </rPh>
    <rPh sb="15" eb="16">
      <t>トウ</t>
    </rPh>
    <phoneticPr fontId="2"/>
  </si>
  <si>
    <r>
      <t>実地研修中 宿舎費</t>
    </r>
    <r>
      <rPr>
        <sz val="9"/>
        <rFont val="ＭＳ Ｐゴシック"/>
        <family val="3"/>
        <charset val="128"/>
      </rPr>
      <t>（会社施設利用時）</t>
    </r>
    <rPh sb="0" eb="2">
      <t>ジッチ</t>
    </rPh>
    <rPh sb="2" eb="5">
      <t>ケンシュウチュウ</t>
    </rPh>
    <rPh sb="6" eb="8">
      <t>シュクシャ</t>
    </rPh>
    <rPh sb="8" eb="9">
      <t>ヒ</t>
    </rPh>
    <rPh sb="10" eb="12">
      <t>カイシャ</t>
    </rPh>
    <rPh sb="12" eb="14">
      <t>シセツ</t>
    </rPh>
    <rPh sb="14" eb="16">
      <t>リヨウ</t>
    </rPh>
    <rPh sb="16" eb="17">
      <t>ジ</t>
    </rPh>
    <phoneticPr fontId="2"/>
  </si>
  <si>
    <t>社員寮、借上げアパート</t>
    <rPh sb="0" eb="3">
      <t>シャインリョウ</t>
    </rPh>
    <rPh sb="4" eb="6">
      <t>カリア</t>
    </rPh>
    <phoneticPr fontId="2"/>
  </si>
  <si>
    <t>費　　目</t>
    <phoneticPr fontId="2"/>
  </si>
  <si>
    <t>受入費</t>
    <phoneticPr fontId="2"/>
  </si>
  <si>
    <t>費用の使途</t>
    <rPh sb="0" eb="2">
      <t>ヒヨウ</t>
    </rPh>
    <rPh sb="3" eb="5">
      <t>シト</t>
    </rPh>
    <phoneticPr fontId="2"/>
  </si>
  <si>
    <t xml:space="preserve"> 渡航費</t>
    <rPh sb="1" eb="3">
      <t>トコウ</t>
    </rPh>
    <rPh sb="3" eb="4">
      <t>ヒ</t>
    </rPh>
    <phoneticPr fontId="27"/>
  </si>
  <si>
    <t>-</t>
    <phoneticPr fontId="2"/>
  </si>
  <si>
    <t>研修生への食費</t>
    <rPh sb="0" eb="3">
      <t>ケンシュウセイ</t>
    </rPh>
    <rPh sb="5" eb="7">
      <t>ショクヒ</t>
    </rPh>
    <phoneticPr fontId="27"/>
  </si>
  <si>
    <t>研修生への雑費</t>
    <rPh sb="0" eb="3">
      <t>ケンシュウセイ</t>
    </rPh>
    <rPh sb="5" eb="7">
      <t>ザッピ</t>
    </rPh>
    <phoneticPr fontId="27"/>
  </si>
  <si>
    <t>センター
　　利用料等</t>
    <rPh sb="7" eb="10">
      <t>リヨウリョウ</t>
    </rPh>
    <rPh sb="10" eb="11">
      <t>トウ</t>
    </rPh>
    <phoneticPr fontId="2"/>
  </si>
  <si>
    <t>Ⅰ．</t>
    <phoneticPr fontId="2"/>
  </si>
  <si>
    <t>Ⅱ．</t>
    <phoneticPr fontId="2"/>
  </si>
  <si>
    <t>Ⅶ．</t>
    <phoneticPr fontId="2"/>
  </si>
  <si>
    <t>実地研修中の宿泊　：　</t>
    <phoneticPr fontId="2"/>
  </si>
  <si>
    <t>Ⅳ．</t>
    <phoneticPr fontId="2"/>
  </si>
  <si>
    <t>実地研修期間</t>
    <phoneticPr fontId="2"/>
  </si>
  <si>
    <t>Ⅷ．</t>
    <phoneticPr fontId="2"/>
  </si>
  <si>
    <t>費目</t>
    <phoneticPr fontId="2"/>
  </si>
  <si>
    <t>日数/回</t>
    <phoneticPr fontId="2"/>
  </si>
  <si>
    <t>計（③）</t>
    <phoneticPr fontId="2"/>
  </si>
  <si>
    <t>受入企業から外部及び研修生への支払額</t>
    <phoneticPr fontId="2"/>
  </si>
  <si>
    <t>日数/回</t>
    <phoneticPr fontId="2"/>
  </si>
  <si>
    <t>計（②）</t>
    <phoneticPr fontId="2"/>
  </si>
  <si>
    <t>【研修旅行】</t>
    <rPh sb="1" eb="3">
      <t>ケンシュウ</t>
    </rPh>
    <rPh sb="3" eb="5">
      <t>リョコウ</t>
    </rPh>
    <phoneticPr fontId="2"/>
  </si>
  <si>
    <t>開始月</t>
    <rPh sb="0" eb="3">
      <t>カイシヅキ</t>
    </rPh>
    <phoneticPr fontId="2"/>
  </si>
  <si>
    <t>研修旅行予定日</t>
    <rPh sb="0" eb="2">
      <t>ケンシュウ</t>
    </rPh>
    <rPh sb="2" eb="4">
      <t>リョコウ</t>
    </rPh>
    <rPh sb="4" eb="7">
      <t>ヨテイビ</t>
    </rPh>
    <phoneticPr fontId="2"/>
  </si>
  <si>
    <t xml:space="preserve"> 国内移動費</t>
    <phoneticPr fontId="2"/>
  </si>
  <si>
    <t>(A)　-　(B)</t>
    <phoneticPr fontId="27"/>
  </si>
  <si>
    <t>一般研修コース：</t>
    <rPh sb="0" eb="2">
      <t>イッパン</t>
    </rPh>
    <rPh sb="2" eb="4">
      <t>ケンシュウ</t>
    </rPh>
    <phoneticPr fontId="2"/>
  </si>
  <si>
    <t>②</t>
    <phoneticPr fontId="2"/>
  </si>
  <si>
    <t>③</t>
    <phoneticPr fontId="2"/>
  </si>
  <si>
    <t>J13W</t>
    <phoneticPr fontId="2"/>
  </si>
  <si>
    <t>研修期間　：</t>
    <rPh sb="0" eb="2">
      <t>ケンシュウ</t>
    </rPh>
    <rPh sb="2" eb="4">
      <t>キカン</t>
    </rPh>
    <phoneticPr fontId="2"/>
  </si>
  <si>
    <t>補助対象日数　：</t>
    <rPh sb="0" eb="2">
      <t>ホジョ</t>
    </rPh>
    <rPh sb="2" eb="4">
      <t>タイショウ</t>
    </rPh>
    <rPh sb="4" eb="6">
      <t>ニッスウ</t>
    </rPh>
    <phoneticPr fontId="2"/>
  </si>
  <si>
    <t>日 （来日日を含む）</t>
    <rPh sb="3" eb="5">
      <t>ライニチ</t>
    </rPh>
    <rPh sb="5" eb="6">
      <t>ビ</t>
    </rPh>
    <rPh sb="7" eb="8">
      <t>フク</t>
    </rPh>
    <phoneticPr fontId="2"/>
  </si>
  <si>
    <t>日数
(来日日含まず)</t>
    <rPh sb="0" eb="2">
      <t>ニッスウ</t>
    </rPh>
    <rPh sb="4" eb="6">
      <t>ライニチ</t>
    </rPh>
    <rPh sb="6" eb="7">
      <t>ビ</t>
    </rPh>
    <rPh sb="7" eb="8">
      <t>フク</t>
    </rPh>
    <phoneticPr fontId="2"/>
  </si>
  <si>
    <t>企業が立替える受入費（A)</t>
    <rPh sb="7" eb="9">
      <t>ウケイレ</t>
    </rPh>
    <rPh sb="9" eb="10">
      <t>ヒ</t>
    </rPh>
    <phoneticPr fontId="2"/>
  </si>
  <si>
    <t>AOTS制度利用の費用試算（企業受入・一人あたり）</t>
    <rPh sb="6" eb="8">
      <t>リヨウ</t>
    </rPh>
    <rPh sb="19" eb="21">
      <t>ヒトリ</t>
    </rPh>
    <phoneticPr fontId="2"/>
  </si>
  <si>
    <t>AOTS研修ｺｰｽ</t>
    <phoneticPr fontId="2"/>
  </si>
  <si>
    <t>3)　AOTSにて直接執行した受入費（研修センター利用料）</t>
    <rPh sb="9" eb="11">
      <t>チョクセツ</t>
    </rPh>
    <rPh sb="11" eb="13">
      <t>シッコウ</t>
    </rPh>
    <rPh sb="15" eb="17">
      <t>ウケイレ</t>
    </rPh>
    <rPh sb="17" eb="18">
      <t>ヒ</t>
    </rPh>
    <rPh sb="19" eb="21">
      <t>ケンシュウ</t>
    </rPh>
    <rPh sb="25" eb="28">
      <t>リヨウリョウ</t>
    </rPh>
    <phoneticPr fontId="3"/>
  </si>
  <si>
    <t>【受入費の流れ（AOTSと企業の精算）】</t>
    <rPh sb="1" eb="3">
      <t>ウケイレ</t>
    </rPh>
    <rPh sb="3" eb="4">
      <t>ヒ</t>
    </rPh>
    <rPh sb="5" eb="6">
      <t>ナガ</t>
    </rPh>
    <rPh sb="13" eb="15">
      <t>キギョウ</t>
    </rPh>
    <rPh sb="16" eb="18">
      <t>セイサン</t>
    </rPh>
    <phoneticPr fontId="2"/>
  </si>
  <si>
    <t>AOTSが直接執行した受入費</t>
    <rPh sb="5" eb="7">
      <t>チョクセツ</t>
    </rPh>
    <rPh sb="7" eb="9">
      <t>シッコウ</t>
    </rPh>
    <rPh sb="11" eb="13">
      <t>ウケイレ</t>
    </rPh>
    <rPh sb="13" eb="14">
      <t>ヒ</t>
    </rPh>
    <phoneticPr fontId="2"/>
  </si>
  <si>
    <t xml:space="preserve">(B)AOTSに払う </t>
    <rPh sb="8" eb="9">
      <t>ハラ</t>
    </rPh>
    <phoneticPr fontId="27"/>
  </si>
  <si>
    <t>企業とAOTSの精算</t>
    <rPh sb="0" eb="2">
      <t>キギョウ</t>
    </rPh>
    <rPh sb="8" eb="10">
      <t>セイサン</t>
    </rPh>
    <phoneticPr fontId="27"/>
  </si>
  <si>
    <t>AOTSから企業へお支払いいたします</t>
    <rPh sb="6" eb="8">
      <t>キギョウ</t>
    </rPh>
    <rPh sb="10" eb="12">
      <t>シハラ</t>
    </rPh>
    <phoneticPr fontId="2"/>
  </si>
  <si>
    <t>AOTSが直接執行した
受入費</t>
    <rPh sb="5" eb="7">
      <t>チョクセツ</t>
    </rPh>
    <rPh sb="7" eb="9">
      <t>シッコウ</t>
    </rPh>
    <rPh sb="12" eb="14">
      <t>ウケイレ</t>
    </rPh>
    <rPh sb="14" eb="15">
      <t>ヒ</t>
    </rPh>
    <phoneticPr fontId="2"/>
  </si>
  <si>
    <t>企業が立て替える
受入費</t>
    <rPh sb="0" eb="2">
      <t>キギョウ</t>
    </rPh>
    <rPh sb="3" eb="4">
      <t>タ</t>
    </rPh>
    <rPh sb="5" eb="6">
      <t>カ</t>
    </rPh>
    <rPh sb="9" eb="11">
      <t>ウケイレ</t>
    </rPh>
    <rPh sb="11" eb="12">
      <t>ヒ</t>
    </rPh>
    <phoneticPr fontId="2"/>
  </si>
  <si>
    <r>
      <t xml:space="preserve"> ※ 累計差引支払額が</t>
    </r>
    <r>
      <rPr>
        <sz val="10"/>
        <color indexed="10"/>
        <rFont val="ＭＳ Ｐゴシック"/>
        <family val="3"/>
        <charset val="128"/>
      </rPr>
      <t>プラスになった時点</t>
    </r>
    <r>
      <rPr>
        <sz val="10"/>
        <rFont val="ＭＳ Ｐゴシック"/>
        <family val="3"/>
        <charset val="128"/>
      </rPr>
      <t>（灰色の月）以降、AOTSから受入企業へ当月差引支払額が支払われます。</t>
    </r>
    <rPh sb="21" eb="23">
      <t>ハイイロ</t>
    </rPh>
    <phoneticPr fontId="2"/>
  </si>
  <si>
    <t>企業からAOTSへお支払いいただきます</t>
    <rPh sb="0" eb="2">
      <t>キギョウ</t>
    </rPh>
    <rPh sb="10" eb="12">
      <t>シハラ</t>
    </rPh>
    <phoneticPr fontId="2"/>
  </si>
  <si>
    <t>研修実施分担金</t>
    <phoneticPr fontId="2"/>
  </si>
  <si>
    <t>★★研修実施分担金</t>
    <phoneticPr fontId="2"/>
  </si>
  <si>
    <t>★受入分担金</t>
    <phoneticPr fontId="2"/>
  </si>
  <si>
    <t>（受入分担金）</t>
    <phoneticPr fontId="2"/>
  </si>
  <si>
    <t>受入分担金</t>
    <phoneticPr fontId="2"/>
  </si>
  <si>
    <t>★受入分担金</t>
    <phoneticPr fontId="2"/>
  </si>
  <si>
    <t>受入分担金</t>
    <phoneticPr fontId="2"/>
  </si>
  <si>
    <t>国内移動費　：　</t>
    <rPh sb="0" eb="2">
      <t>コクナイ</t>
    </rPh>
    <rPh sb="2" eb="4">
      <t>イドウ</t>
    </rPh>
    <rPh sb="4" eb="5">
      <t>ヒ</t>
    </rPh>
    <phoneticPr fontId="2"/>
  </si>
  <si>
    <t>国内移動費</t>
    <phoneticPr fontId="2"/>
  </si>
  <si>
    <t>基準額超過分は全額受入企業負担</t>
    <rPh sb="2" eb="3">
      <t>ガク</t>
    </rPh>
    <rPh sb="7" eb="9">
      <t>ゼンガク</t>
    </rPh>
    <phoneticPr fontId="2"/>
  </si>
  <si>
    <t>当月差引支払額（②-③）</t>
    <rPh sb="0" eb="2">
      <t>トウゲツ</t>
    </rPh>
    <rPh sb="2" eb="4">
      <t>サシヒキ</t>
    </rPh>
    <rPh sb="4" eb="6">
      <t>シハライ</t>
    </rPh>
    <rPh sb="6" eb="7">
      <t>ガク</t>
    </rPh>
    <phoneticPr fontId="2"/>
  </si>
  <si>
    <t>【海外旅行保険】</t>
    <rPh sb="1" eb="7">
      <t>カイガイリョコウホケン</t>
    </rPh>
    <phoneticPr fontId="2"/>
  </si>
  <si>
    <t>月数</t>
    <rPh sb="0" eb="1">
      <t>ツキ</t>
    </rPh>
    <rPh sb="1" eb="2">
      <t>スウ</t>
    </rPh>
    <phoneticPr fontId="2"/>
  </si>
  <si>
    <t>日数</t>
    <rPh sb="0" eb="1">
      <t>ニチ</t>
    </rPh>
    <rPh sb="1" eb="2">
      <t>スウ</t>
    </rPh>
    <phoneticPr fontId="2"/>
  </si>
  <si>
    <t>研修期間</t>
    <rPh sb="0" eb="2">
      <t>ケンシュウ</t>
    </rPh>
    <rPh sb="2" eb="4">
      <t>キカン</t>
    </rPh>
    <phoneticPr fontId="2"/>
  </si>
  <si>
    <t>該当項目</t>
    <rPh sb="0" eb="2">
      <t>ガイトウ</t>
    </rPh>
    <rPh sb="2" eb="4">
      <t>コウモク</t>
    </rPh>
    <phoneticPr fontId="5"/>
  </si>
  <si>
    <t>保険日数</t>
    <rPh sb="0" eb="2">
      <t>ホケン</t>
    </rPh>
    <rPh sb="2" eb="4">
      <t>ニッスウ</t>
    </rPh>
    <phoneticPr fontId="5"/>
  </si>
  <si>
    <t>保険料合計</t>
    <rPh sb="0" eb="2">
      <t>ホケン</t>
    </rPh>
    <rPh sb="2" eb="3">
      <t>リョウ</t>
    </rPh>
    <rPh sb="3" eb="5">
      <t>ゴウケイ</t>
    </rPh>
    <phoneticPr fontId="5"/>
  </si>
  <si>
    <t>2ヶ月まで</t>
    <rPh sb="2" eb="3">
      <t>ゲツ</t>
    </rPh>
    <phoneticPr fontId="5"/>
  </si>
  <si>
    <t>3ヶ月まで</t>
    <rPh sb="2" eb="3">
      <t>ゲツ</t>
    </rPh>
    <phoneticPr fontId="5"/>
  </si>
  <si>
    <t>4ヶ月まで</t>
    <rPh sb="2" eb="3">
      <t>ゲツ</t>
    </rPh>
    <phoneticPr fontId="5"/>
  </si>
  <si>
    <t>5ヶ月まで</t>
    <rPh sb="2" eb="3">
      <t>ゲツ</t>
    </rPh>
    <phoneticPr fontId="5"/>
  </si>
  <si>
    <t>6ヶ月まで</t>
    <rPh sb="2" eb="3">
      <t>ゲツ</t>
    </rPh>
    <phoneticPr fontId="5"/>
  </si>
  <si>
    <t>7ヶ月まで</t>
    <rPh sb="2" eb="3">
      <t>ゲツ</t>
    </rPh>
    <phoneticPr fontId="5"/>
  </si>
  <si>
    <t>8ヶ月まで</t>
    <rPh sb="2" eb="3">
      <t>ゲツ</t>
    </rPh>
    <phoneticPr fontId="5"/>
  </si>
  <si>
    <t>9ヶ月まで</t>
    <rPh sb="2" eb="3">
      <t>ゲツ</t>
    </rPh>
    <phoneticPr fontId="5"/>
  </si>
  <si>
    <t>10ヶ月まで</t>
    <rPh sb="3" eb="4">
      <t>ゲツ</t>
    </rPh>
    <phoneticPr fontId="5"/>
  </si>
  <si>
    <t>11ヶ月まで</t>
    <rPh sb="3" eb="4">
      <t>ゲツ</t>
    </rPh>
    <phoneticPr fontId="5"/>
  </si>
  <si>
    <t>12ヶ月まで</t>
    <rPh sb="3" eb="4">
      <t>ゲツ</t>
    </rPh>
    <phoneticPr fontId="5"/>
  </si>
  <si>
    <t>海外旅行保険</t>
    <rPh sb="0" eb="6">
      <t>カイガイリョコウホケン</t>
    </rPh>
    <phoneticPr fontId="2"/>
  </si>
  <si>
    <t>-</t>
    <phoneticPr fontId="2"/>
  </si>
  <si>
    <t>海外旅行保険</t>
    <phoneticPr fontId="2"/>
  </si>
  <si>
    <t>-</t>
    <phoneticPr fontId="2"/>
  </si>
  <si>
    <t xml:space="preserve"> センター利用料</t>
    <phoneticPr fontId="2"/>
  </si>
  <si>
    <t xml:space="preserve"> 海外旅行保険</t>
    <rPh sb="1" eb="7">
      <t>カイガイリョコウホケン</t>
    </rPh>
    <phoneticPr fontId="2"/>
  </si>
  <si>
    <t xml:space="preserve"> 宿舎費</t>
    <rPh sb="1" eb="3">
      <t>シュクシャ</t>
    </rPh>
    <rPh sb="3" eb="4">
      <t>ヒ</t>
    </rPh>
    <phoneticPr fontId="2"/>
  </si>
  <si>
    <t xml:space="preserve"> 食費</t>
    <rPh sb="1" eb="3">
      <t>ショクヒ</t>
    </rPh>
    <phoneticPr fontId="27"/>
  </si>
  <si>
    <t xml:space="preserve"> 雑費</t>
    <rPh sb="1" eb="3">
      <t>ザッピ</t>
    </rPh>
    <phoneticPr fontId="27"/>
  </si>
  <si>
    <t>(A)企業が立替える</t>
    <phoneticPr fontId="2"/>
  </si>
  <si>
    <t>海外旅行保険</t>
    <rPh sb="0" eb="6">
      <t>カイガイリョコウホケン</t>
    </rPh>
    <phoneticPr fontId="2"/>
  </si>
  <si>
    <t xml:space="preserve"> ※ 渡航費、歯科診療費、国民健康保険料等に加え、外部宿舎費の上限額を超える部分は、この表に含まれておりません。</t>
    <phoneticPr fontId="2"/>
  </si>
  <si>
    <t>国内移動費</t>
    <rPh sb="0" eb="5">
      <t>コクナイイドウヒ</t>
    </rPh>
    <phoneticPr fontId="2"/>
  </si>
  <si>
    <t>※受入費には歯科診療費、国民健康保険料等も含まれます（上記試算表には未織込み、受入企業負担あり）。</t>
    <rPh sb="1" eb="4">
      <t>ウケイレヒ</t>
    </rPh>
    <rPh sb="6" eb="11">
      <t>シカシンリョウヒ</t>
    </rPh>
    <rPh sb="12" eb="16">
      <t>コクミンケンコウ</t>
    </rPh>
    <rPh sb="16" eb="18">
      <t>ホケン</t>
    </rPh>
    <rPh sb="18" eb="19">
      <t>リョウ</t>
    </rPh>
    <rPh sb="19" eb="20">
      <t>トウ</t>
    </rPh>
    <rPh sb="21" eb="22">
      <t>フク</t>
    </rPh>
    <rPh sb="27" eb="29">
      <t>ジョウキ</t>
    </rPh>
    <rPh sb="29" eb="32">
      <t>シサンヒョウ</t>
    </rPh>
    <rPh sb="34" eb="36">
      <t>ミオ</t>
    </rPh>
    <rPh sb="36" eb="37">
      <t>コ</t>
    </rPh>
    <rPh sb="39" eb="43">
      <t>ウケイレキギョウ</t>
    </rPh>
    <rPh sb="43" eb="45">
      <t>フタン</t>
    </rPh>
    <phoneticPr fontId="2"/>
  </si>
  <si>
    <t>研修実施</t>
    <phoneticPr fontId="2"/>
  </si>
  <si>
    <t>研修費附帯費</t>
    <rPh sb="0" eb="2">
      <t>ケンシュウ</t>
    </rPh>
    <rPh sb="2" eb="3">
      <t>ヒ</t>
    </rPh>
    <rPh sb="3" eb="5">
      <t>フタイ</t>
    </rPh>
    <rPh sb="5" eb="6">
      <t>ヒ</t>
    </rPh>
    <phoneticPr fontId="2"/>
  </si>
  <si>
    <t>分担金</t>
    <phoneticPr fontId="2"/>
  </si>
  <si>
    <t>総額</t>
    <rPh sb="0" eb="2">
      <t>ソウガク</t>
    </rPh>
    <phoneticPr fontId="2"/>
  </si>
  <si>
    <t>日程表の項番に対応</t>
    <phoneticPr fontId="2"/>
  </si>
  <si>
    <t>補助金と分担金</t>
    <rPh sb="4" eb="6">
      <t>ブンタン</t>
    </rPh>
    <phoneticPr fontId="2"/>
  </si>
  <si>
    <t>2)　分担金　[受入企業負担の総額]</t>
    <rPh sb="3" eb="5">
      <t>ブンタン</t>
    </rPh>
    <rPh sb="5" eb="6">
      <t>キン</t>
    </rPh>
    <rPh sb="15" eb="17">
      <t>ソウガク</t>
    </rPh>
    <phoneticPr fontId="2"/>
  </si>
  <si>
    <t>分担金</t>
    <rPh sb="0" eb="2">
      <t>ブンタン</t>
    </rPh>
    <phoneticPr fontId="2"/>
  </si>
  <si>
    <t>分担金</t>
    <rPh sb="0" eb="2">
      <t>ブンタン</t>
    </rPh>
    <rPh sb="2" eb="3">
      <t>キン</t>
    </rPh>
    <phoneticPr fontId="2"/>
  </si>
  <si>
    <t>技術協力活用型・新興国市場開拓事業（研修・専門家派遣・寄附講座開設事業）／大企業（重点分野）</t>
    <rPh sb="27" eb="29">
      <t>キフ</t>
    </rPh>
    <rPh sb="29" eb="31">
      <t>コウザ</t>
    </rPh>
    <rPh sb="31" eb="33">
      <t>カイセツ</t>
    </rPh>
    <rPh sb="37" eb="38">
      <t>ダイ</t>
    </rPh>
    <rPh sb="38" eb="40">
      <t>キギョウ</t>
    </rPh>
    <rPh sb="41" eb="43">
      <t>ジュウテン</t>
    </rPh>
    <rPh sb="43" eb="45">
      <t>ブンヤ</t>
    </rPh>
    <phoneticPr fontId="2"/>
  </si>
  <si>
    <t>技術協力活用型・新興国市場開拓事業（研修・専門家派遣・寄附講座開設事業）／大企業（一般分野）</t>
    <rPh sb="37" eb="40">
      <t>ダイキギョウ</t>
    </rPh>
    <rPh sb="41" eb="43">
      <t>イッパン</t>
    </rPh>
    <rPh sb="43" eb="45">
      <t>ブンヤ</t>
    </rPh>
    <phoneticPr fontId="2"/>
  </si>
  <si>
    <t>技術協力活用型・新興国市場開拓事業（研修・専門家派遣・寄附講座開設事業）／中堅・中小企業</t>
    <rPh sb="37" eb="39">
      <t>チュウケン</t>
    </rPh>
    <phoneticPr fontId="2"/>
  </si>
  <si>
    <t>技術協力活用型・新興国市場開拓事業（研修・専門家派遣・寄附講座開設事業）／大企業（アフリカ案件）</t>
    <rPh sb="37" eb="40">
      <t>ダイキギョウ</t>
    </rPh>
    <rPh sb="45" eb="47">
      <t>アンケン</t>
    </rPh>
    <phoneticPr fontId="2"/>
  </si>
  <si>
    <t>技術協力活用型・新興国市場開拓事業（研修・専門家派遣・寄附講座開設事業）／中堅・中小企業（アフリカ案件）</t>
    <rPh sb="37" eb="39">
      <t>チュウケン</t>
    </rPh>
    <rPh sb="49" eb="51">
      <t>アンケン</t>
    </rPh>
    <phoneticPr fontId="2"/>
  </si>
  <si>
    <t>アジア等ゼロエミッション化人材育成等事業　低炭素技術輸出分野に係る人材育成事業／大企業</t>
    <rPh sb="40" eb="43">
      <t>ダイキギョウ</t>
    </rPh>
    <phoneticPr fontId="2"/>
  </si>
  <si>
    <t>アジア等ゼロエミッション化人材育成等事業　低炭素技術輸出分野に係る人材育成事業／中堅・中小企業</t>
    <rPh sb="40" eb="42">
      <t>チュウケン</t>
    </rPh>
    <phoneticPr fontId="2"/>
  </si>
  <si>
    <t>アジア等ゼロエミッション化人材育成等事業　低炭素技術輸出分野に係る人材育成事業／高等教育機関、公益法人</t>
    <phoneticPr fontId="2"/>
  </si>
  <si>
    <t>（アジア等ゼロエミッション化人材育成等事業のみ補助対象）</t>
    <rPh sb="23" eb="25">
      <t>ホジョ</t>
    </rPh>
    <rPh sb="25" eb="27">
      <t>タイショウ</t>
    </rPh>
    <phoneticPr fontId="2"/>
  </si>
  <si>
    <t>渡航費補助</t>
    <rPh sb="0" eb="3">
      <t>トコウヒ</t>
    </rPh>
    <rPh sb="3" eb="5">
      <t>ホジョ</t>
    </rPh>
    <phoneticPr fontId="2"/>
  </si>
  <si>
    <t>対象外</t>
    <rPh sb="0" eb="3">
      <t>タイショウガイ</t>
    </rPh>
    <phoneticPr fontId="2"/>
  </si>
  <si>
    <t>対象</t>
    <rPh sb="0" eb="2">
      <t>タイショウ</t>
    </rPh>
    <phoneticPr fontId="2"/>
  </si>
  <si>
    <t>※ただし、技術協力活用型・新興国事業開拓事業では、アフリカからの参加の場合、渡航費が補助対象となります。</t>
    <phoneticPr fontId="2"/>
  </si>
  <si>
    <r>
      <t>渡航費</t>
    </r>
    <r>
      <rPr>
        <sz val="10"/>
        <color rgb="FFFF0000"/>
        <rFont val="ＭＳ Ｐゴシック"/>
        <family val="3"/>
        <charset val="128"/>
      </rPr>
      <t>（ゼロエミ事業のみ補助対象）</t>
    </r>
    <rPh sb="0" eb="3">
      <t>トコウヒ</t>
    </rPh>
    <rPh sb="8" eb="10">
      <t>ジギョウ</t>
    </rPh>
    <rPh sb="12" eb="14">
      <t>ホジョ</t>
    </rPh>
    <rPh sb="14" eb="16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</si>
</sst>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 * #,##0_ ;_ * \-#,##0_ ;_ * &quot;-&quot;_ ;_ @_ "/>
    <numFmt numFmtId="176" formatCode="#,##0_ "/>
    <numFmt numFmtId="177" formatCode="#,##0;[Red]#,##0"/>
    <numFmt numFmtId="178" formatCode="###&quot;日&quot;"/>
    <numFmt numFmtId="179" formatCode="#,##0_ ;[Red]\-#,##0\ "/>
    <numFmt numFmtId="180" formatCode="##&quot;日&quot;"/>
    <numFmt numFmtId="181" formatCode="0_);[Red]\(0\)"/>
    <numFmt numFmtId="182" formatCode="##&quot;回&quot;"/>
    <numFmt numFmtId="183" formatCode="[$-F800]dddd\,\ mmmm\ dd\,\ yyyy"/>
    <numFmt numFmtId="184" formatCode="General&quot;日&quot;"/>
    <numFmt numFmtId="185" formatCode="General&quot;月&quot;"/>
    <numFmt numFmtId="186" formatCode="&quot;～&quot;m/d"/>
    <numFmt numFmtId="187" formatCode="&quot;(&quot;m/d&quot;～)&quot;"/>
    <numFmt numFmtId="188" formatCode="&quot;(～&quot;m/d&quot;)&quot;"/>
    <numFmt numFmtId="189" formatCode="@&quot;～&quot;"/>
    <numFmt numFmtId="190" formatCode="yyyy/mm/dd"/>
    <numFmt numFmtId="191" formatCode="0&quot;日まで&quot;"/>
    <numFmt numFmtId="192" formatCode="0&quot;日&quot;"/>
    <numFmt numFmtId="193" formatCode="\(\ #,##0\)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0"/>
      <color rgb="FF0343F7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2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ck">
        <color indexed="12"/>
      </top>
      <bottom style="thick">
        <color indexed="12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12"/>
      </top>
      <bottom style="thick">
        <color indexed="12"/>
      </bottom>
      <diagonal/>
    </border>
    <border>
      <left/>
      <right style="thin">
        <color indexed="64"/>
      </right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medium">
        <color indexed="64"/>
      </right>
      <top style="thick">
        <color indexed="12"/>
      </top>
      <bottom style="thick">
        <color indexed="1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12"/>
      </top>
      <bottom style="thick">
        <color indexed="12"/>
      </bottom>
      <diagonal/>
    </border>
    <border>
      <left style="medium">
        <color indexed="64"/>
      </left>
      <right/>
      <top style="double">
        <color indexed="64"/>
      </top>
      <bottom style="thick">
        <color indexed="12"/>
      </bottom>
      <diagonal/>
    </border>
    <border>
      <left/>
      <right/>
      <top style="double">
        <color indexed="64"/>
      </top>
      <bottom style="thick">
        <color indexed="12"/>
      </bottom>
      <diagonal/>
    </border>
    <border>
      <left/>
      <right style="medium">
        <color indexed="64"/>
      </right>
      <top style="double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/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 style="medium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1" tint="0.499984740745262"/>
      </top>
      <bottom style="dashed">
        <color indexed="64"/>
      </bottom>
      <diagonal/>
    </border>
    <border>
      <left/>
      <right/>
      <top style="hair">
        <color theme="1" tint="0.499984740745262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theme="1" tint="0.499984740745262"/>
      </bottom>
      <diagonal/>
    </border>
    <border>
      <left style="medium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hair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1" tint="0.499984740745262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 style="hair">
        <color theme="1" tint="0.499984740745262"/>
      </bottom>
      <diagonal/>
    </border>
    <border>
      <left style="medium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/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hair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dashed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1" tint="0.499984740745262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</cellStyleXfs>
  <cellXfs count="798">
    <xf numFmtId="0" fontId="0" fillId="0" borderId="0" xfId="0"/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/>
    <xf numFmtId="0" fontId="4" fillId="3" borderId="0" xfId="0" applyFont="1" applyFill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4" fontId="4" fillId="0" borderId="15" xfId="0" applyNumberFormat="1" applyFont="1" applyBorder="1" applyAlignment="1">
      <alignment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0" xfId="0" applyFont="1" applyBorder="1" applyAlignment="1">
      <alignment horizontal="right" vertical="center"/>
    </xf>
    <xf numFmtId="41" fontId="4" fillId="0" borderId="31" xfId="0" applyNumberFormat="1" applyFont="1" applyBorder="1" applyAlignment="1">
      <alignment horizontal="center" vertical="center"/>
    </xf>
    <xf numFmtId="14" fontId="4" fillId="0" borderId="32" xfId="0" applyNumberFormat="1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41" fontId="4" fillId="0" borderId="32" xfId="0" applyNumberFormat="1" applyFont="1" applyBorder="1" applyAlignment="1">
      <alignment vertical="center"/>
    </xf>
    <xf numFmtId="41" fontId="4" fillId="0" borderId="16" xfId="0" applyNumberFormat="1" applyFont="1" applyBorder="1" applyAlignment="1">
      <alignment vertical="center"/>
    </xf>
    <xf numFmtId="0" fontId="4" fillId="0" borderId="40" xfId="0" applyFont="1" applyBorder="1" applyAlignment="1">
      <alignment horizontal="right" vertical="center"/>
    </xf>
    <xf numFmtId="0" fontId="4" fillId="0" borderId="52" xfId="0" applyFont="1" applyBorder="1" applyAlignment="1">
      <alignment horizontal="left" vertical="center" indent="1"/>
    </xf>
    <xf numFmtId="0" fontId="4" fillId="0" borderId="54" xfId="0" applyFont="1" applyBorder="1" applyAlignment="1">
      <alignment horizontal="left" vertical="center" indent="1"/>
    </xf>
    <xf numFmtId="0" fontId="4" fillId="0" borderId="58" xfId="0" applyFont="1" applyBorder="1" applyAlignment="1">
      <alignment vertical="center"/>
    </xf>
    <xf numFmtId="14" fontId="4" fillId="0" borderId="56" xfId="0" applyNumberFormat="1" applyFont="1" applyBorder="1" applyAlignment="1">
      <alignment vertical="center"/>
    </xf>
    <xf numFmtId="14" fontId="4" fillId="0" borderId="58" xfId="0" applyNumberFormat="1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4" fillId="0" borderId="78" xfId="0" applyFont="1" applyBorder="1" applyAlignment="1">
      <alignment horizontal="right" vertical="center"/>
    </xf>
    <xf numFmtId="41" fontId="4" fillId="0" borderId="79" xfId="0" applyNumberFormat="1" applyFont="1" applyBorder="1" applyAlignment="1">
      <alignment horizontal="right" vertical="center"/>
    </xf>
    <xf numFmtId="0" fontId="4" fillId="0" borderId="80" xfId="0" applyFont="1" applyBorder="1" applyAlignment="1">
      <alignment vertical="center"/>
    </xf>
    <xf numFmtId="41" fontId="4" fillId="0" borderId="75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7" xfId="2" applyFont="1" applyBorder="1" applyAlignment="1">
      <alignment horizontal="center" vertical="center"/>
    </xf>
    <xf numFmtId="38" fontId="4" fillId="0" borderId="34" xfId="1" applyFont="1" applyBorder="1" applyAlignment="1" applyProtection="1">
      <alignment vertical="center"/>
    </xf>
    <xf numFmtId="38" fontId="4" fillId="0" borderId="18" xfId="1" applyFont="1" applyBorder="1" applyAlignment="1" applyProtection="1">
      <alignment vertical="center"/>
    </xf>
    <xf numFmtId="189" fontId="4" fillId="0" borderId="77" xfId="0" applyNumberFormat="1" applyFont="1" applyBorder="1" applyAlignment="1">
      <alignment vertical="center"/>
    </xf>
    <xf numFmtId="0" fontId="4" fillId="0" borderId="205" xfId="0" applyFont="1" applyBorder="1" applyAlignment="1">
      <alignment horizontal="center" vertical="center"/>
    </xf>
    <xf numFmtId="0" fontId="4" fillId="0" borderId="86" xfId="0" applyFont="1" applyBorder="1" applyAlignment="1">
      <alignment vertical="center"/>
    </xf>
    <xf numFmtId="0" fontId="4" fillId="0" borderId="207" xfId="0" applyFont="1" applyBorder="1" applyAlignment="1">
      <alignment horizontal="center" vertical="center"/>
    </xf>
    <xf numFmtId="0" fontId="4" fillId="0" borderId="81" xfId="0" applyFont="1" applyBorder="1" applyAlignment="1">
      <alignment vertical="center"/>
    </xf>
    <xf numFmtId="0" fontId="4" fillId="3" borderId="84" xfId="0" applyFont="1" applyFill="1" applyBorder="1" applyAlignment="1">
      <alignment horizontal="center" vertical="center"/>
    </xf>
    <xf numFmtId="179" fontId="4" fillId="2" borderId="0" xfId="1" applyNumberFormat="1" applyFont="1" applyFill="1" applyBorder="1" applyAlignment="1" applyProtection="1">
      <protection locked="0"/>
    </xf>
    <xf numFmtId="0" fontId="4" fillId="10" borderId="9" xfId="0" applyFont="1" applyFill="1" applyBorder="1" applyAlignment="1">
      <alignment vertical="center"/>
    </xf>
    <xf numFmtId="190" fontId="4" fillId="10" borderId="126" xfId="0" applyNumberFormat="1" applyFont="1" applyFill="1" applyBorder="1" applyAlignment="1">
      <alignment horizontal="center" vertical="center"/>
    </xf>
    <xf numFmtId="190" fontId="4" fillId="10" borderId="50" xfId="0" applyNumberFormat="1" applyFont="1" applyFill="1" applyBorder="1" applyAlignment="1">
      <alignment horizontal="center" vertical="center"/>
    </xf>
    <xf numFmtId="181" fontId="4" fillId="10" borderId="10" xfId="0" applyNumberFormat="1" applyFont="1" applyFill="1" applyBorder="1" applyAlignment="1">
      <alignment vertical="center"/>
    </xf>
    <xf numFmtId="0" fontId="4" fillId="10" borderId="69" xfId="0" applyFont="1" applyFill="1" applyBorder="1" applyAlignment="1">
      <alignment vertical="center"/>
    </xf>
    <xf numFmtId="0" fontId="4" fillId="10" borderId="158" xfId="0" applyFont="1" applyFill="1" applyBorder="1" applyAlignment="1">
      <alignment horizontal="center" vertical="center"/>
    </xf>
    <xf numFmtId="190" fontId="4" fillId="10" borderId="176" xfId="0" applyNumberFormat="1" applyFont="1" applyFill="1" applyBorder="1" applyAlignment="1">
      <alignment horizontal="center" vertical="center"/>
    </xf>
    <xf numFmtId="190" fontId="4" fillId="10" borderId="70" xfId="0" applyNumberFormat="1" applyFont="1" applyFill="1" applyBorder="1" applyAlignment="1">
      <alignment horizontal="center" vertical="center"/>
    </xf>
    <xf numFmtId="0" fontId="4" fillId="10" borderId="70" xfId="0" applyFont="1" applyFill="1" applyBorder="1" applyAlignment="1">
      <alignment horizontal="center" vertical="center"/>
    </xf>
    <xf numFmtId="181" fontId="4" fillId="10" borderId="71" xfId="0" applyNumberFormat="1" applyFont="1" applyFill="1" applyBorder="1" applyAlignment="1">
      <alignment vertical="center"/>
    </xf>
    <xf numFmtId="0" fontId="4" fillId="10" borderId="14" xfId="0" applyFont="1" applyFill="1" applyBorder="1" applyAlignment="1">
      <alignment vertical="center"/>
    </xf>
    <xf numFmtId="0" fontId="4" fillId="10" borderId="28" xfId="0" applyFont="1" applyFill="1" applyBorder="1" applyAlignment="1">
      <alignment horizontal="center" vertical="center"/>
    </xf>
    <xf numFmtId="190" fontId="4" fillId="10" borderId="33" xfId="0" applyNumberFormat="1" applyFont="1" applyFill="1" applyBorder="1" applyAlignment="1">
      <alignment horizontal="center" vertical="center"/>
    </xf>
    <xf numFmtId="190" fontId="4" fillId="10" borderId="32" xfId="0" applyNumberFormat="1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horizontal="center" vertical="center"/>
    </xf>
    <xf numFmtId="181" fontId="4" fillId="10" borderId="16" xfId="0" applyNumberFormat="1" applyFont="1" applyFill="1" applyBorder="1" applyAlignment="1">
      <alignment vertical="center"/>
    </xf>
    <xf numFmtId="0" fontId="4" fillId="10" borderId="17" xfId="0" applyFont="1" applyFill="1" applyBorder="1" applyAlignment="1">
      <alignment vertical="center"/>
    </xf>
    <xf numFmtId="0" fontId="4" fillId="10" borderId="34" xfId="0" applyFont="1" applyFill="1" applyBorder="1" applyAlignment="1">
      <alignment horizontal="center" vertical="center"/>
    </xf>
    <xf numFmtId="190" fontId="4" fillId="10" borderId="39" xfId="0" applyNumberFormat="1" applyFont="1" applyFill="1" applyBorder="1" applyAlignment="1">
      <alignment horizontal="center" vertical="center"/>
    </xf>
    <xf numFmtId="190" fontId="4" fillId="10" borderId="38" xfId="0" applyNumberFormat="1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/>
    </xf>
    <xf numFmtId="181" fontId="4" fillId="10" borderId="18" xfId="0" applyNumberFormat="1" applyFont="1" applyFill="1" applyBorder="1" applyAlignment="1">
      <alignment vertical="center"/>
    </xf>
    <xf numFmtId="0" fontId="4" fillId="10" borderId="55" xfId="0" applyFont="1" applyFill="1" applyBorder="1"/>
    <xf numFmtId="0" fontId="4" fillId="10" borderId="61" xfId="0" applyFont="1" applyFill="1" applyBorder="1" applyAlignment="1">
      <alignment vertical="center"/>
    </xf>
    <xf numFmtId="0" fontId="4" fillId="0" borderId="55" xfId="0" applyFont="1" applyBorder="1" applyAlignment="1">
      <alignment vertical="center"/>
    </xf>
    <xf numFmtId="14" fontId="4" fillId="0" borderId="59" xfId="0" applyNumberFormat="1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4" fontId="4" fillId="0" borderId="20" xfId="0" applyNumberFormat="1" applyFont="1" applyBorder="1" applyAlignment="1">
      <alignment vertical="center"/>
    </xf>
    <xf numFmtId="0" fontId="4" fillId="0" borderId="37" xfId="0" applyFont="1" applyBorder="1" applyAlignment="1">
      <alignment horizontal="right" vertical="center"/>
    </xf>
    <xf numFmtId="0" fontId="4" fillId="0" borderId="68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 indent="1"/>
    </xf>
    <xf numFmtId="0" fontId="4" fillId="0" borderId="57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4" fontId="4" fillId="0" borderId="7" xfId="0" applyNumberFormat="1" applyFont="1" applyBorder="1" applyAlignment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51" xfId="0" applyFont="1" applyBorder="1" applyAlignment="1">
      <alignment horizontal="left" vertical="center"/>
    </xf>
    <xf numFmtId="0" fontId="4" fillId="0" borderId="74" xfId="0" applyFont="1" applyBorder="1" applyAlignment="1">
      <alignment horizontal="right" vertical="center"/>
    </xf>
    <xf numFmtId="0" fontId="4" fillId="0" borderId="206" xfId="0" applyFont="1" applyBorder="1" applyAlignment="1">
      <alignment horizontal="center" vertical="center"/>
    </xf>
    <xf numFmtId="0" fontId="4" fillId="0" borderId="76" xfId="0" applyFont="1" applyBorder="1" applyAlignment="1">
      <alignment vertical="center"/>
    </xf>
    <xf numFmtId="41" fontId="4" fillId="0" borderId="35" xfId="0" applyNumberFormat="1" applyFont="1" applyBorder="1" applyAlignment="1">
      <alignment horizontal="right" vertical="center"/>
    </xf>
    <xf numFmtId="0" fontId="4" fillId="0" borderId="83" xfId="0" applyFont="1" applyBorder="1" applyAlignment="1">
      <alignment vertical="center"/>
    </xf>
    <xf numFmtId="0" fontId="4" fillId="0" borderId="8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8" fontId="4" fillId="0" borderId="22" xfId="1" applyFont="1" applyFill="1" applyBorder="1" applyAlignment="1" applyProtection="1">
      <alignment vertical="center"/>
    </xf>
    <xf numFmtId="38" fontId="4" fillId="0" borderId="8" xfId="1" applyFont="1" applyFill="1" applyBorder="1" applyAlignment="1" applyProtection="1">
      <alignment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41" fontId="4" fillId="0" borderId="25" xfId="0" applyNumberFormat="1" applyFont="1" applyBorder="1" applyAlignment="1">
      <alignment horizontal="center" vertical="center"/>
    </xf>
    <xf numFmtId="14" fontId="4" fillId="0" borderId="26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41" fontId="4" fillId="0" borderId="26" xfId="0" applyNumberFormat="1" applyFont="1" applyBorder="1" applyAlignment="1">
      <alignment vertical="center"/>
    </xf>
    <xf numFmtId="41" fontId="4" fillId="0" borderId="8" xfId="0" applyNumberFormat="1" applyFont="1" applyBorder="1" applyAlignment="1">
      <alignment vertical="center"/>
    </xf>
    <xf numFmtId="0" fontId="4" fillId="0" borderId="34" xfId="0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6" xfId="0" applyFont="1" applyBorder="1" applyAlignment="1">
      <alignment horizontal="right" vertical="center"/>
    </xf>
    <xf numFmtId="41" fontId="4" fillId="0" borderId="37" xfId="0" applyNumberFormat="1" applyFont="1" applyBorder="1" applyAlignment="1">
      <alignment horizontal="center" vertical="center"/>
    </xf>
    <xf numFmtId="14" fontId="4" fillId="0" borderId="38" xfId="0" applyNumberFormat="1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41" fontId="4" fillId="0" borderId="38" xfId="0" applyNumberFormat="1" applyFont="1" applyBorder="1" applyAlignment="1">
      <alignment vertical="center"/>
    </xf>
    <xf numFmtId="41" fontId="4" fillId="0" borderId="18" xfId="0" applyNumberFormat="1" applyFont="1" applyBorder="1" applyAlignment="1">
      <alignment vertical="center"/>
    </xf>
    <xf numFmtId="12" fontId="4" fillId="0" borderId="10" xfId="0" applyNumberFormat="1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12" fontId="4" fillId="0" borderId="16" xfId="0" applyNumberFormat="1" applyFont="1" applyBorder="1" applyAlignment="1">
      <alignment vertical="center"/>
    </xf>
    <xf numFmtId="0" fontId="4" fillId="0" borderId="87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157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10" fillId="11" borderId="1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28" fillId="11" borderId="143" xfId="0" applyFont="1" applyFill="1" applyBorder="1" applyAlignment="1">
      <alignment vertical="center"/>
    </xf>
    <xf numFmtId="0" fontId="28" fillId="11" borderId="132" xfId="0" applyFont="1" applyFill="1" applyBorder="1" applyAlignment="1">
      <alignment vertical="center"/>
    </xf>
    <xf numFmtId="0" fontId="10" fillId="11" borderId="154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0" fillId="11" borderId="7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41" fontId="4" fillId="0" borderId="189" xfId="0" applyNumberFormat="1" applyFont="1" applyBorder="1" applyAlignment="1">
      <alignment vertical="center"/>
    </xf>
    <xf numFmtId="41" fontId="4" fillId="0" borderId="104" xfId="0" applyNumberFormat="1" applyFont="1" applyBorder="1" applyAlignment="1">
      <alignment vertical="center"/>
    </xf>
    <xf numFmtId="179" fontId="4" fillId="2" borderId="0" xfId="0" applyNumberFormat="1" applyFont="1" applyFill="1" applyAlignment="1" applyProtection="1">
      <alignment vertical="center"/>
      <protection locked="0"/>
    </xf>
    <xf numFmtId="0" fontId="28" fillId="13" borderId="4" xfId="0" applyFont="1" applyFill="1" applyBorder="1" applyAlignment="1">
      <alignment horizontal="center" vertical="center"/>
    </xf>
    <xf numFmtId="0" fontId="28" fillId="13" borderId="224" xfId="0" applyFont="1" applyFill="1" applyBorder="1" applyAlignment="1">
      <alignment horizontal="center" vertical="center"/>
    </xf>
    <xf numFmtId="0" fontId="28" fillId="13" borderId="3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32" xfId="0" applyFont="1" applyBorder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4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9" fontId="4" fillId="2" borderId="0" xfId="1" applyNumberFormat="1" applyFont="1" applyFill="1" applyBorder="1" applyAlignment="1" applyProtection="1">
      <alignment vertical="center"/>
      <protection locked="0"/>
    </xf>
    <xf numFmtId="0" fontId="10" fillId="11" borderId="155" xfId="0" applyFont="1" applyFill="1" applyBorder="1" applyAlignment="1">
      <alignment horizontal="center" vertical="center"/>
    </xf>
    <xf numFmtId="0" fontId="10" fillId="11" borderId="72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11" xfId="0" applyBorder="1"/>
    <xf numFmtId="0" fontId="22" fillId="0" borderId="0" xfId="0" applyFont="1" applyAlignment="1">
      <alignment vertical="center"/>
    </xf>
    <xf numFmtId="0" fontId="12" fillId="0" borderId="0" xfId="0" applyFont="1"/>
    <xf numFmtId="0" fontId="0" fillId="0" borderId="0" xfId="0" applyAlignment="1">
      <alignment horizontal="right" vertical="center"/>
    </xf>
    <xf numFmtId="0" fontId="20" fillId="0" borderId="133" xfId="0" applyFont="1" applyBorder="1" applyAlignment="1">
      <alignment vertical="center"/>
    </xf>
    <xf numFmtId="0" fontId="20" fillId="12" borderId="31" xfId="0" applyFont="1" applyFill="1" applyBorder="1" applyAlignment="1">
      <alignment horizontal="centerContinuous" vertical="center"/>
    </xf>
    <xf numFmtId="0" fontId="20" fillId="12" borderId="33" xfId="0" applyFont="1" applyFill="1" applyBorder="1" applyAlignment="1">
      <alignment horizontal="centerContinuous" vertical="center"/>
    </xf>
    <xf numFmtId="0" fontId="20" fillId="12" borderId="15" xfId="0" applyFont="1" applyFill="1" applyBorder="1" applyAlignment="1">
      <alignment horizontal="centerContinuous" vertical="center"/>
    </xf>
    <xf numFmtId="0" fontId="20" fillId="12" borderId="32" xfId="0" applyFont="1" applyFill="1" applyBorder="1" applyAlignment="1">
      <alignment horizontal="center" vertical="center"/>
    </xf>
    <xf numFmtId="0" fontId="0" fillId="0" borderId="45" xfId="0" applyBorder="1" applyAlignment="1">
      <alignment vertical="distributed"/>
    </xf>
    <xf numFmtId="0" fontId="0" fillId="0" borderId="60" xfId="0" applyBorder="1" applyAlignment="1">
      <alignment vertical="center"/>
    </xf>
    <xf numFmtId="0" fontId="0" fillId="0" borderId="213" xfId="0" applyBorder="1" applyAlignment="1">
      <alignment vertical="center"/>
    </xf>
    <xf numFmtId="0" fontId="0" fillId="0" borderId="59" xfId="0" applyBorder="1" applyAlignment="1">
      <alignment vertical="center"/>
    </xf>
    <xf numFmtId="179" fontId="0" fillId="5" borderId="214" xfId="1" applyNumberFormat="1" applyFont="1" applyFill="1" applyBorder="1" applyAlignment="1" applyProtection="1">
      <alignment vertical="center"/>
    </xf>
    <xf numFmtId="0" fontId="0" fillId="0" borderId="213" xfId="0" applyBorder="1"/>
    <xf numFmtId="0" fontId="0" fillId="0" borderId="12" xfId="0" applyBorder="1" applyAlignment="1">
      <alignment vertical="center" textRotation="255"/>
    </xf>
    <xf numFmtId="0" fontId="0" fillId="0" borderId="66" xfId="0" applyBorder="1" applyAlignment="1">
      <alignment vertical="center"/>
    </xf>
    <xf numFmtId="0" fontId="0" fillId="0" borderId="215" xfId="0" applyBorder="1" applyAlignment="1">
      <alignment vertical="center"/>
    </xf>
    <xf numFmtId="0" fontId="0" fillId="0" borderId="58" xfId="0" applyBorder="1" applyAlignment="1">
      <alignment vertical="center"/>
    </xf>
    <xf numFmtId="179" fontId="0" fillId="5" borderId="216" xfId="1" applyNumberFormat="1" applyFont="1" applyFill="1" applyBorder="1" applyAlignment="1" applyProtection="1">
      <alignment vertical="center"/>
    </xf>
    <xf numFmtId="0" fontId="0" fillId="0" borderId="215" xfId="0" applyBorder="1"/>
    <xf numFmtId="179" fontId="0" fillId="5" borderId="84" xfId="0" applyNumberFormat="1" applyFill="1" applyBorder="1" applyAlignment="1">
      <alignment vertical="center"/>
    </xf>
    <xf numFmtId="179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32" xfId="0" applyBorder="1" applyAlignment="1">
      <alignment vertical="distributed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3" xfId="0" applyBorder="1" applyAlignment="1">
      <alignment vertical="center"/>
    </xf>
    <xf numFmtId="179" fontId="0" fillId="5" borderId="32" xfId="1" applyNumberFormat="1" applyFont="1" applyFill="1" applyBorder="1" applyAlignment="1" applyProtection="1">
      <alignment vertical="center"/>
    </xf>
    <xf numFmtId="0" fontId="0" fillId="0" borderId="33" xfId="0" applyBorder="1"/>
    <xf numFmtId="0" fontId="4" fillId="0" borderId="0" xfId="0" applyFont="1" applyAlignment="1">
      <alignment horizontal="left" vertical="top"/>
    </xf>
    <xf numFmtId="179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center" textRotation="255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indent="1"/>
    </xf>
    <xf numFmtId="0" fontId="0" fillId="0" borderId="45" xfId="0" applyBorder="1" applyAlignment="1">
      <alignment vertical="center"/>
    </xf>
    <xf numFmtId="0" fontId="0" fillId="0" borderId="17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6" xfId="0" applyBorder="1" applyAlignment="1">
      <alignment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 vertical="center" indent="2"/>
    </xf>
    <xf numFmtId="0" fontId="12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9" fillId="4" borderId="82" xfId="0" applyFont="1" applyFill="1" applyBorder="1" applyAlignment="1">
      <alignment horizontal="right" vertical="center" wrapText="1"/>
    </xf>
    <xf numFmtId="12" fontId="19" fillId="4" borderId="173" xfId="0" applyNumberFormat="1" applyFont="1" applyFill="1" applyBorder="1" applyAlignment="1">
      <alignment horizontal="left" vertical="center"/>
    </xf>
    <xf numFmtId="0" fontId="19" fillId="4" borderId="84" xfId="0" applyFont="1" applyFill="1" applyBorder="1" applyAlignment="1">
      <alignment horizontal="right" vertical="center"/>
    </xf>
    <xf numFmtId="12" fontId="19" fillId="4" borderId="85" xfId="0" applyNumberFormat="1" applyFont="1" applyFill="1" applyBorder="1" applyAlignment="1">
      <alignment horizontal="left" vertical="center"/>
    </xf>
    <xf numFmtId="0" fontId="4" fillId="0" borderId="211" xfId="0" applyFont="1" applyBorder="1" applyAlignment="1">
      <alignment vertical="center"/>
    </xf>
    <xf numFmtId="179" fontId="0" fillId="0" borderId="210" xfId="1" applyNumberFormat="1" applyFont="1" applyBorder="1" applyAlignment="1" applyProtection="1">
      <alignment vertical="center"/>
    </xf>
    <xf numFmtId="179" fontId="0" fillId="0" borderId="210" xfId="0" applyNumberFormat="1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4" fillId="0" borderId="15" xfId="0" applyFont="1" applyBorder="1" applyAlignment="1">
      <alignment vertical="center" wrapText="1"/>
    </xf>
    <xf numFmtId="179" fontId="0" fillId="0" borderId="15" xfId="1" applyNumberFormat="1" applyFont="1" applyBorder="1" applyAlignment="1" applyProtection="1">
      <alignment vertical="center"/>
    </xf>
    <xf numFmtId="179" fontId="0" fillId="0" borderId="15" xfId="0" applyNumberFormat="1" applyBorder="1" applyAlignment="1">
      <alignment vertical="center"/>
    </xf>
    <xf numFmtId="0" fontId="0" fillId="0" borderId="114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68" xfId="0" applyFont="1" applyBorder="1" applyAlignment="1">
      <alignment vertical="center" wrapText="1"/>
    </xf>
    <xf numFmtId="179" fontId="0" fillId="0" borderId="33" xfId="1" applyNumberFormat="1" applyFont="1" applyBorder="1" applyAlignment="1" applyProtection="1">
      <alignment vertical="center"/>
    </xf>
    <xf numFmtId="179" fontId="0" fillId="0" borderId="32" xfId="0" applyNumberFormat="1" applyBorder="1" applyAlignment="1">
      <alignment horizontal="right" vertical="center"/>
    </xf>
    <xf numFmtId="179" fontId="0" fillId="0" borderId="19" xfId="0" applyNumberForma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79" fontId="0" fillId="0" borderId="32" xfId="0" applyNumberFormat="1" applyBorder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84" xfId="0" applyNumberFormat="1" applyBorder="1" applyAlignment="1">
      <alignment horizontal="centerContinuous" vertical="center"/>
    </xf>
    <xf numFmtId="0" fontId="0" fillId="0" borderId="163" xfId="0" applyBorder="1" applyAlignment="1">
      <alignment horizontal="left" vertical="center"/>
    </xf>
    <xf numFmtId="0" fontId="4" fillId="0" borderId="255" xfId="0" applyFont="1" applyBorder="1" applyAlignment="1">
      <alignment vertical="center" wrapText="1"/>
    </xf>
    <xf numFmtId="179" fontId="0" fillId="0" borderId="245" xfId="1" applyNumberFormat="1" applyFont="1" applyBorder="1" applyAlignment="1" applyProtection="1">
      <alignment vertical="center"/>
    </xf>
    <xf numFmtId="179" fontId="0" fillId="0" borderId="246" xfId="0" applyNumberFormat="1" applyBorder="1" applyAlignment="1">
      <alignment vertical="center"/>
    </xf>
    <xf numFmtId="179" fontId="0" fillId="0" borderId="247" xfId="0" applyNumberFormat="1" applyBorder="1" applyAlignment="1">
      <alignment vertical="center"/>
    </xf>
    <xf numFmtId="0" fontId="30" fillId="0" borderId="143" xfId="0" applyFont="1" applyBorder="1" applyAlignment="1">
      <alignment horizontal="center" vertical="center"/>
    </xf>
    <xf numFmtId="0" fontId="30" fillId="0" borderId="48" xfId="0" applyFont="1" applyBorder="1" applyAlignment="1">
      <alignment vertical="center"/>
    </xf>
    <xf numFmtId="38" fontId="31" fillId="7" borderId="140" xfId="0" applyNumberFormat="1" applyFont="1" applyFill="1" applyBorder="1" applyAlignment="1">
      <alignment horizontal="left" vertical="center"/>
    </xf>
    <xf numFmtId="38" fontId="31" fillId="7" borderId="141" xfId="0" applyNumberFormat="1" applyFont="1" applyFill="1" applyBorder="1" applyAlignment="1">
      <alignment horizontal="left" vertical="center"/>
    </xf>
    <xf numFmtId="38" fontId="30" fillId="7" borderId="142" xfId="0" applyNumberFormat="1" applyFont="1" applyFill="1" applyBorder="1" applyAlignment="1">
      <alignment horizontal="center" vertical="center"/>
    </xf>
    <xf numFmtId="38" fontId="30" fillId="0" borderId="0" xfId="0" applyNumberFormat="1" applyFont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56" xfId="0" applyFont="1" applyBorder="1" applyAlignment="1">
      <alignment vertical="center" wrapText="1"/>
    </xf>
    <xf numFmtId="179" fontId="0" fillId="0" borderId="250" xfId="1" applyNumberFormat="1" applyFont="1" applyBorder="1" applyAlignment="1" applyProtection="1">
      <alignment vertical="center"/>
    </xf>
    <xf numFmtId="179" fontId="0" fillId="0" borderId="251" xfId="0" applyNumberFormat="1" applyBorder="1" applyAlignment="1">
      <alignment vertical="center"/>
    </xf>
    <xf numFmtId="179" fontId="0" fillId="0" borderId="252" xfId="0" applyNumberFormat="1" applyBorder="1" applyAlignment="1">
      <alignment vertical="center"/>
    </xf>
    <xf numFmtId="0" fontId="0" fillId="0" borderId="132" xfId="0" applyBorder="1" applyAlignment="1">
      <alignment horizontal="center" vertical="center"/>
    </xf>
    <xf numFmtId="0" fontId="30" fillId="7" borderId="43" xfId="0" applyFont="1" applyFill="1" applyBorder="1" applyAlignment="1">
      <alignment vertical="center"/>
    </xf>
    <xf numFmtId="0" fontId="30" fillId="7" borderId="0" xfId="0" applyFont="1" applyFill="1" applyAlignment="1">
      <alignment vertical="center"/>
    </xf>
    <xf numFmtId="38" fontId="30" fillId="0" borderId="0" xfId="1" applyFont="1" applyFill="1" applyBorder="1" applyAlignment="1" applyProtection="1">
      <alignment vertical="center"/>
    </xf>
    <xf numFmtId="0" fontId="31" fillId="0" borderId="0" xfId="0" applyFont="1" applyAlignment="1">
      <alignment vertical="center"/>
    </xf>
    <xf numFmtId="0" fontId="0" fillId="0" borderId="47" xfId="0" applyBorder="1" applyAlignment="1">
      <alignment horizontal="left" vertical="center"/>
    </xf>
    <xf numFmtId="3" fontId="30" fillId="0" borderId="132" xfId="0" applyNumberFormat="1" applyFont="1" applyBorder="1" applyAlignment="1">
      <alignment horizontal="center" vertical="center"/>
    </xf>
    <xf numFmtId="179" fontId="30" fillId="7" borderId="48" xfId="1" applyNumberFormat="1" applyFont="1" applyFill="1" applyBorder="1" applyAlignment="1" applyProtection="1">
      <alignment vertical="center"/>
    </xf>
    <xf numFmtId="0" fontId="32" fillId="0" borderId="0" xfId="0" applyFont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31" fillId="8" borderId="43" xfId="0" applyFont="1" applyFill="1" applyBorder="1" applyAlignment="1">
      <alignment vertical="center"/>
    </xf>
    <xf numFmtId="179" fontId="0" fillId="0" borderId="126" xfId="1" applyNumberFormat="1" applyFont="1" applyBorder="1" applyAlignment="1" applyProtection="1">
      <alignment vertical="center"/>
    </xf>
    <xf numFmtId="179" fontId="0" fillId="0" borderId="50" xfId="0" applyNumberFormat="1" applyBorder="1" applyAlignment="1">
      <alignment vertical="center"/>
    </xf>
    <xf numFmtId="179" fontId="0" fillId="0" borderId="13" xfId="0" applyNumberFormat="1" applyBorder="1" applyAlignment="1">
      <alignment vertical="center"/>
    </xf>
    <xf numFmtId="3" fontId="0" fillId="0" borderId="132" xfId="0" applyNumberFormat="1" applyBorder="1" applyAlignment="1">
      <alignment horizontal="center" vertical="center"/>
    </xf>
    <xf numFmtId="0" fontId="30" fillId="8" borderId="43" xfId="0" applyFont="1" applyFill="1" applyBorder="1" applyAlignment="1">
      <alignment vertical="center"/>
    </xf>
    <xf numFmtId="0" fontId="30" fillId="8" borderId="0" xfId="0" applyFont="1" applyFill="1" applyAlignment="1">
      <alignment vertical="center"/>
    </xf>
    <xf numFmtId="179" fontId="30" fillId="8" borderId="48" xfId="1" applyNumberFormat="1" applyFont="1" applyFill="1" applyBorder="1" applyAlignment="1" applyProtection="1">
      <alignment vertical="center"/>
    </xf>
    <xf numFmtId="0" fontId="30" fillId="0" borderId="43" xfId="0" applyFont="1" applyBorder="1" applyAlignment="1">
      <alignment vertical="center"/>
    </xf>
    <xf numFmtId="179" fontId="30" fillId="0" borderId="48" xfId="1" applyNumberFormat="1" applyFont="1" applyBorder="1" applyAlignment="1" applyProtection="1">
      <alignment horizontal="right" vertical="center"/>
    </xf>
    <xf numFmtId="0" fontId="0" fillId="0" borderId="163" xfId="0" applyBorder="1" applyAlignment="1">
      <alignment vertical="center"/>
    </xf>
    <xf numFmtId="179" fontId="0" fillId="0" borderId="176" xfId="1" applyNumberFormat="1" applyFont="1" applyBorder="1" applyAlignment="1" applyProtection="1">
      <alignment vertical="center"/>
    </xf>
    <xf numFmtId="179" fontId="0" fillId="0" borderId="70" xfId="0" applyNumberFormat="1" applyBorder="1" applyAlignment="1">
      <alignment vertical="center"/>
    </xf>
    <xf numFmtId="179" fontId="0" fillId="0" borderId="46" xfId="0" applyNumberFormat="1" applyBorder="1" applyAlignment="1">
      <alignment vertical="center"/>
    </xf>
    <xf numFmtId="0" fontId="0" fillId="0" borderId="43" xfId="0" applyBorder="1" applyAlignment="1">
      <alignment vertical="center"/>
    </xf>
    <xf numFmtId="179" fontId="0" fillId="0" borderId="48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9" xfId="0" applyBorder="1" applyAlignment="1">
      <alignment vertical="center"/>
    </xf>
    <xf numFmtId="179" fontId="0" fillId="0" borderId="38" xfId="1" applyNumberFormat="1" applyFont="1" applyBorder="1" applyAlignment="1" applyProtection="1">
      <alignment horizontal="right" vertical="center" indent="1"/>
    </xf>
    <xf numFmtId="179" fontId="0" fillId="0" borderId="38" xfId="0" applyNumberFormat="1" applyBorder="1" applyAlignment="1">
      <alignment horizontal="right" vertical="center" indent="1"/>
    </xf>
    <xf numFmtId="179" fontId="0" fillId="0" borderId="68" xfId="0" applyNumberFormat="1" applyBorder="1" applyAlignment="1">
      <alignment vertical="center"/>
    </xf>
    <xf numFmtId="179" fontId="30" fillId="0" borderId="48" xfId="1" applyNumberFormat="1" applyFont="1" applyBorder="1" applyAlignment="1" applyProtection="1">
      <alignment vertical="center"/>
    </xf>
    <xf numFmtId="177" fontId="3" fillId="0" borderId="170" xfId="0" applyNumberFormat="1" applyFont="1" applyBorder="1" applyAlignment="1">
      <alignment vertical="center"/>
    </xf>
    <xf numFmtId="3" fontId="30" fillId="6" borderId="132" xfId="0" applyNumberFormat="1" applyFont="1" applyFill="1" applyBorder="1" applyAlignment="1">
      <alignment horizontal="center" vertical="center"/>
    </xf>
    <xf numFmtId="38" fontId="0" fillId="0" borderId="0" xfId="0" applyNumberFormat="1" applyAlignment="1">
      <alignment horizontal="centerContinuous" vertical="center"/>
    </xf>
    <xf numFmtId="0" fontId="30" fillId="0" borderId="0" xfId="0" applyFont="1" applyAlignment="1">
      <alignment horizontal="centerContinuous" vertical="center" wrapText="1"/>
    </xf>
    <xf numFmtId="0" fontId="4" fillId="0" borderId="141" xfId="0" applyFont="1" applyBorder="1"/>
    <xf numFmtId="0" fontId="3" fillId="0" borderId="14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3" fontId="0" fillId="6" borderId="132" xfId="0" applyNumberFormat="1" applyFill="1" applyBorder="1" applyAlignment="1">
      <alignment horizontal="center" vertical="center"/>
    </xf>
    <xf numFmtId="38" fontId="30" fillId="0" borderId="0" xfId="1" applyFont="1" applyFill="1" applyBorder="1" applyAlignment="1" applyProtection="1">
      <alignment horizontal="centerContinuous" vertical="center"/>
    </xf>
    <xf numFmtId="0" fontId="0" fillId="6" borderId="138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0" xfId="1" applyNumberFormat="1" applyFont="1" applyFill="1" applyBorder="1" applyAlignment="1" applyProtection="1">
      <alignment vertical="center"/>
    </xf>
    <xf numFmtId="3" fontId="30" fillId="9" borderId="132" xfId="0" applyNumberFormat="1" applyFont="1" applyFill="1" applyBorder="1" applyAlignment="1">
      <alignment horizontal="center" vertical="center"/>
    </xf>
    <xf numFmtId="179" fontId="0" fillId="0" borderId="0" xfId="0" applyNumberFormat="1" applyAlignment="1">
      <alignment horizontal="centerContinuous" vertical="center"/>
    </xf>
    <xf numFmtId="0" fontId="19" fillId="4" borderId="189" xfId="0" applyFont="1" applyFill="1" applyBorder="1" applyAlignment="1">
      <alignment horizontal="center" vertical="center"/>
    </xf>
    <xf numFmtId="177" fontId="20" fillId="4" borderId="104" xfId="0" applyNumberFormat="1" applyFont="1" applyFill="1" applyBorder="1" applyAlignment="1">
      <alignment horizontal="center" vertical="center"/>
    </xf>
    <xf numFmtId="3" fontId="30" fillId="9" borderId="9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179" fontId="0" fillId="5" borderId="10" xfId="0" applyNumberFormat="1" applyFill="1" applyBorder="1" applyAlignment="1">
      <alignment vertical="center"/>
    </xf>
    <xf numFmtId="0" fontId="30" fillId="0" borderId="132" xfId="0" applyFont="1" applyBorder="1" applyAlignment="1">
      <alignment horizontal="center" vertical="center"/>
    </xf>
    <xf numFmtId="179" fontId="1" fillId="0" borderId="50" xfId="1" applyNumberFormat="1" applyFont="1" applyBorder="1" applyAlignment="1" applyProtection="1">
      <alignment vertical="center"/>
    </xf>
    <xf numFmtId="182" fontId="0" fillId="0" borderId="50" xfId="0" applyNumberFormat="1" applyBorder="1" applyAlignment="1">
      <alignment vertical="center"/>
    </xf>
    <xf numFmtId="179" fontId="0" fillId="5" borderId="16" xfId="0" applyNumberFormat="1" applyFill="1" applyBorder="1" applyAlignment="1">
      <alignment vertical="center"/>
    </xf>
    <xf numFmtId="0" fontId="18" fillId="0" borderId="171" xfId="0" applyFont="1" applyBorder="1" applyAlignment="1">
      <alignment vertical="center"/>
    </xf>
    <xf numFmtId="0" fontId="18" fillId="0" borderId="84" xfId="0" applyFont="1" applyBorder="1" applyAlignment="1">
      <alignment vertical="center"/>
    </xf>
    <xf numFmtId="38" fontId="18" fillId="0" borderId="174" xfId="1" applyFont="1" applyBorder="1" applyAlignment="1" applyProtection="1">
      <alignment vertical="center"/>
    </xf>
    <xf numFmtId="178" fontId="18" fillId="0" borderId="174" xfId="0" applyNumberFormat="1" applyFont="1" applyBorder="1" applyAlignment="1">
      <alignment vertical="center"/>
    </xf>
    <xf numFmtId="179" fontId="18" fillId="5" borderId="167" xfId="0" applyNumberFormat="1" applyFont="1" applyFill="1" applyBorder="1" applyAlignment="1">
      <alignment vertical="center"/>
    </xf>
    <xf numFmtId="3" fontId="30" fillId="0" borderId="0" xfId="0" applyNumberFormat="1" applyFont="1" applyAlignment="1">
      <alignment horizontal="centerContinuous" vertical="center" wrapText="1"/>
    </xf>
    <xf numFmtId="3" fontId="30" fillId="0" borderId="0" xfId="0" applyNumberFormat="1" applyFont="1" applyAlignment="1">
      <alignment horizontal="center" vertical="center"/>
    </xf>
    <xf numFmtId="179" fontId="3" fillId="5" borderId="170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3" fontId="30" fillId="6" borderId="143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0" fillId="0" borderId="138" xfId="0" applyBorder="1" applyAlignment="1">
      <alignment horizontal="center" vertical="center"/>
    </xf>
    <xf numFmtId="3" fontId="30" fillId="9" borderId="13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1" applyNumberFormat="1" applyFont="1" applyBorder="1" applyAlignment="1" applyProtection="1">
      <alignment vertical="center"/>
    </xf>
    <xf numFmtId="0" fontId="0" fillId="0" borderId="48" xfId="0" applyBorder="1" applyAlignment="1">
      <alignment vertical="center"/>
    </xf>
    <xf numFmtId="3" fontId="30" fillId="9" borderId="138" xfId="0" applyNumberFormat="1" applyFont="1" applyFill="1" applyBorder="1" applyAlignment="1">
      <alignment horizontal="center" vertical="center"/>
    </xf>
    <xf numFmtId="0" fontId="4" fillId="0" borderId="168" xfId="0" applyFont="1" applyBorder="1" applyAlignment="1">
      <alignment vertical="center"/>
    </xf>
    <xf numFmtId="180" fontId="0" fillId="0" borderId="32" xfId="0" applyNumberFormat="1" applyBorder="1" applyAlignment="1">
      <alignment horizontal="right" vertical="center"/>
    </xf>
    <xf numFmtId="179" fontId="0" fillId="5" borderId="19" xfId="0" applyNumberFormat="1" applyFill="1" applyBorder="1" applyAlignment="1">
      <alignment vertical="center"/>
    </xf>
    <xf numFmtId="0" fontId="30" fillId="0" borderId="84" xfId="0" applyFont="1" applyBorder="1" applyAlignment="1">
      <alignment horizontal="center" vertical="center"/>
    </xf>
    <xf numFmtId="178" fontId="0" fillId="0" borderId="32" xfId="0" applyNumberFormat="1" applyBorder="1" applyAlignment="1">
      <alignment vertical="center"/>
    </xf>
    <xf numFmtId="0" fontId="4" fillId="0" borderId="255" xfId="0" applyFont="1" applyBorder="1" applyAlignment="1">
      <alignment vertical="center"/>
    </xf>
    <xf numFmtId="178" fontId="0" fillId="0" borderId="246" xfId="0" applyNumberFormat="1" applyBorder="1" applyAlignment="1">
      <alignment vertical="center"/>
    </xf>
    <xf numFmtId="179" fontId="0" fillId="5" borderId="247" xfId="0" applyNumberFormat="1" applyFill="1" applyBorder="1" applyAlignment="1">
      <alignment vertical="center"/>
    </xf>
    <xf numFmtId="38" fontId="30" fillId="0" borderId="138" xfId="0" applyNumberFormat="1" applyFont="1" applyBorder="1" applyAlignment="1">
      <alignment horizontal="center" vertical="center"/>
    </xf>
    <xf numFmtId="0" fontId="4" fillId="0" borderId="256" xfId="0" applyFont="1" applyBorder="1" applyAlignment="1">
      <alignment vertical="center"/>
    </xf>
    <xf numFmtId="178" fontId="0" fillId="0" borderId="251" xfId="0" applyNumberFormat="1" applyBorder="1" applyAlignment="1">
      <alignment vertical="center"/>
    </xf>
    <xf numFmtId="179" fontId="0" fillId="5" borderId="252" xfId="0" applyNumberFormat="1" applyFill="1" applyBorder="1" applyAlignment="1">
      <alignment vertical="center"/>
    </xf>
    <xf numFmtId="0" fontId="33" fillId="0" borderId="0" xfId="0" applyFont="1" applyAlignment="1">
      <alignment vertical="center"/>
    </xf>
    <xf numFmtId="0" fontId="0" fillId="0" borderId="84" xfId="0" applyBorder="1" applyAlignment="1">
      <alignment vertical="center"/>
    </xf>
    <xf numFmtId="0" fontId="4" fillId="0" borderId="172" xfId="0" applyFont="1" applyBorder="1" applyAlignment="1">
      <alignment vertical="center"/>
    </xf>
    <xf numFmtId="179" fontId="0" fillId="0" borderId="173" xfId="1" applyNumberFormat="1" applyFont="1" applyBorder="1" applyAlignment="1" applyProtection="1">
      <alignment vertical="center"/>
    </xf>
    <xf numFmtId="184" fontId="0" fillId="0" borderId="174" xfId="0" applyNumberFormat="1" applyBorder="1" applyAlignment="1">
      <alignment vertical="center"/>
    </xf>
    <xf numFmtId="179" fontId="0" fillId="5" borderId="85" xfId="0" applyNumberFormat="1" applyFill="1" applyBorder="1" applyAlignment="1">
      <alignment vertical="center"/>
    </xf>
    <xf numFmtId="179" fontId="3" fillId="5" borderId="104" xfId="1" applyNumberFormat="1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11" xfId="0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5" fillId="0" borderId="87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52" xfId="1" applyNumberFormat="1" applyFont="1" applyFill="1" applyBorder="1" applyAlignment="1" applyProtection="1">
      <alignment horizontal="center" vertical="center"/>
    </xf>
    <xf numFmtId="41" fontId="4" fillId="0" borderId="88" xfId="0" applyNumberFormat="1" applyFont="1" applyBorder="1" applyAlignment="1">
      <alignment vertical="center"/>
    </xf>
    <xf numFmtId="0" fontId="4" fillId="0" borderId="89" xfId="0" applyFont="1" applyBorder="1" applyAlignment="1">
      <alignment vertical="center"/>
    </xf>
    <xf numFmtId="41" fontId="4" fillId="0" borderId="62" xfId="0" applyNumberFormat="1" applyFont="1" applyBorder="1" applyAlignment="1">
      <alignment vertical="center"/>
    </xf>
    <xf numFmtId="184" fontId="4" fillId="0" borderId="63" xfId="0" applyNumberFormat="1" applyFont="1" applyBorder="1" applyAlignment="1">
      <alignment vertical="center"/>
    </xf>
    <xf numFmtId="0" fontId="4" fillId="0" borderId="90" xfId="1" applyNumberFormat="1" applyFont="1" applyFill="1" applyBorder="1" applyAlignment="1" applyProtection="1">
      <alignment horizontal="center" vertical="center"/>
    </xf>
    <xf numFmtId="41" fontId="4" fillId="0" borderId="91" xfId="0" applyNumberFormat="1" applyFont="1" applyBorder="1" applyAlignment="1">
      <alignment vertical="center"/>
    </xf>
    <xf numFmtId="0" fontId="4" fillId="0" borderId="92" xfId="0" applyFont="1" applyBorder="1" applyAlignment="1">
      <alignment vertical="center"/>
    </xf>
    <xf numFmtId="41" fontId="4" fillId="0" borderId="93" xfId="0" applyNumberFormat="1" applyFont="1" applyBorder="1" applyAlignment="1">
      <alignment vertical="center"/>
    </xf>
    <xf numFmtId="0" fontId="4" fillId="0" borderId="94" xfId="0" applyFont="1" applyBorder="1" applyAlignment="1">
      <alignment vertical="center"/>
    </xf>
    <xf numFmtId="184" fontId="4" fillId="0" borderId="94" xfId="0" applyNumberFormat="1" applyFont="1" applyBorder="1" applyAlignment="1">
      <alignment vertical="center"/>
    </xf>
    <xf numFmtId="0" fontId="4" fillId="0" borderId="95" xfId="1" applyNumberFormat="1" applyFont="1" applyFill="1" applyBorder="1" applyAlignment="1" applyProtection="1">
      <alignment horizontal="center" vertical="center"/>
    </xf>
    <xf numFmtId="41" fontId="4" fillId="0" borderId="96" xfId="0" applyNumberFormat="1" applyFont="1" applyBorder="1" applyAlignment="1">
      <alignment vertical="center"/>
    </xf>
    <xf numFmtId="0" fontId="4" fillId="0" borderId="97" xfId="0" applyFont="1" applyBorder="1" applyAlignment="1">
      <alignment vertical="center"/>
    </xf>
    <xf numFmtId="41" fontId="4" fillId="0" borderId="98" xfId="0" applyNumberFormat="1" applyFont="1" applyBorder="1" applyAlignment="1">
      <alignment vertical="center"/>
    </xf>
    <xf numFmtId="0" fontId="4" fillId="0" borderId="99" xfId="0" applyFont="1" applyBorder="1" applyAlignment="1">
      <alignment vertical="center"/>
    </xf>
    <xf numFmtId="184" fontId="4" fillId="0" borderId="99" xfId="0" applyNumberFormat="1" applyFont="1" applyBorder="1" applyAlignment="1">
      <alignment vertical="center"/>
    </xf>
    <xf numFmtId="0" fontId="10" fillId="4" borderId="100" xfId="1" applyNumberFormat="1" applyFont="1" applyFill="1" applyBorder="1" applyAlignment="1" applyProtection="1">
      <alignment horizontal="center" vertical="center"/>
    </xf>
    <xf numFmtId="41" fontId="10" fillId="4" borderId="41" xfId="0" applyNumberFormat="1" applyFont="1" applyFill="1" applyBorder="1" applyAlignment="1">
      <alignment horizontal="center" vertical="center"/>
    </xf>
    <xf numFmtId="41" fontId="10" fillId="4" borderId="101" xfId="0" applyNumberFormat="1" applyFont="1" applyFill="1" applyBorder="1" applyAlignment="1">
      <alignment horizontal="center" vertical="center"/>
    </xf>
    <xf numFmtId="41" fontId="10" fillId="4" borderId="102" xfId="0" applyNumberFormat="1" applyFont="1" applyFill="1" applyBorder="1" applyAlignment="1">
      <alignment horizontal="center" vertical="center"/>
    </xf>
    <xf numFmtId="41" fontId="10" fillId="4" borderId="103" xfId="0" applyNumberFormat="1" applyFont="1" applyFill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0" fontId="4" fillId="0" borderId="106" xfId="0" applyFont="1" applyBorder="1" applyAlignment="1">
      <alignment horizontal="right" vertical="center" indent="1"/>
    </xf>
    <xf numFmtId="0" fontId="4" fillId="0" borderId="106" xfId="0" applyFont="1" applyBorder="1" applyAlignment="1">
      <alignment vertical="center"/>
    </xf>
    <xf numFmtId="179" fontId="4" fillId="5" borderId="107" xfId="1" applyNumberFormat="1" applyFont="1" applyFill="1" applyBorder="1" applyAlignment="1" applyProtection="1">
      <alignment horizontal="right" vertical="center"/>
    </xf>
    <xf numFmtId="179" fontId="4" fillId="0" borderId="106" xfId="0" applyNumberFormat="1" applyFont="1" applyBorder="1" applyAlignment="1">
      <alignment horizontal="right" vertical="center"/>
    </xf>
    <xf numFmtId="179" fontId="4" fillId="0" borderId="112" xfId="0" applyNumberFormat="1" applyFont="1" applyBorder="1" applyAlignment="1">
      <alignment horizontal="right" vertical="center"/>
    </xf>
    <xf numFmtId="179" fontId="4" fillId="0" borderId="105" xfId="0" applyNumberFormat="1" applyFont="1" applyBorder="1" applyAlignment="1">
      <alignment horizontal="right" vertical="center"/>
    </xf>
    <xf numFmtId="179" fontId="4" fillId="0" borderId="113" xfId="0" applyNumberFormat="1" applyFont="1" applyBorder="1" applyAlignment="1">
      <alignment horizontal="right" vertical="center"/>
    </xf>
    <xf numFmtId="179" fontId="4" fillId="0" borderId="107" xfId="1" applyNumberFormat="1" applyFont="1" applyFill="1" applyBorder="1" applyAlignment="1" applyProtection="1">
      <alignment horizontal="right" vertical="center"/>
    </xf>
    <xf numFmtId="0" fontId="4" fillId="0" borderId="114" xfId="0" applyFont="1" applyBorder="1" applyAlignment="1">
      <alignment vertical="center"/>
    </xf>
    <xf numFmtId="0" fontId="7" fillId="0" borderId="226" xfId="0" applyFont="1" applyBorder="1" applyAlignment="1">
      <alignment vertical="center" wrapText="1"/>
    </xf>
    <xf numFmtId="179" fontId="4" fillId="5" borderId="227" xfId="0" applyNumberFormat="1" applyFont="1" applyFill="1" applyBorder="1" applyAlignment="1">
      <alignment horizontal="right" vertical="center"/>
    </xf>
    <xf numFmtId="184" fontId="4" fillId="0" borderId="228" xfId="1" applyNumberFormat="1" applyFont="1" applyBorder="1" applyAlignment="1" applyProtection="1">
      <alignment horizontal="right" vertical="center"/>
    </xf>
    <xf numFmtId="179" fontId="4" fillId="0" borderId="229" xfId="1" applyNumberFormat="1" applyFont="1" applyBorder="1" applyAlignment="1" applyProtection="1">
      <alignment horizontal="right" vertical="center"/>
    </xf>
    <xf numFmtId="184" fontId="4" fillId="0" borderId="230" xfId="1" applyNumberFormat="1" applyFont="1" applyBorder="1" applyAlignment="1" applyProtection="1">
      <alignment horizontal="right" vertical="center"/>
    </xf>
    <xf numFmtId="184" fontId="4" fillId="0" borderId="230" xfId="0" applyNumberFormat="1" applyFont="1" applyBorder="1" applyAlignment="1">
      <alignment horizontal="right" vertical="center"/>
    </xf>
    <xf numFmtId="179" fontId="4" fillId="0" borderId="231" xfId="0" applyNumberFormat="1" applyFont="1" applyBorder="1" applyAlignment="1">
      <alignment horizontal="right" vertical="center"/>
    </xf>
    <xf numFmtId="179" fontId="4" fillId="0" borderId="227" xfId="0" applyNumberFormat="1" applyFont="1" applyBorder="1" applyAlignment="1">
      <alignment horizontal="right" vertical="center"/>
    </xf>
    <xf numFmtId="0" fontId="4" fillId="0" borderId="105" xfId="0" applyFont="1" applyBorder="1" applyAlignment="1">
      <alignment vertical="top"/>
    </xf>
    <xf numFmtId="0" fontId="7" fillId="0" borderId="232" xfId="0" applyFont="1" applyBorder="1" applyAlignment="1">
      <alignment vertical="center" wrapText="1"/>
    </xf>
    <xf numFmtId="179" fontId="4" fillId="5" borderId="233" xfId="0" applyNumberFormat="1" applyFont="1" applyFill="1" applyBorder="1" applyAlignment="1">
      <alignment horizontal="right" vertical="center"/>
    </xf>
    <xf numFmtId="184" fontId="4" fillId="0" borderId="234" xfId="1" applyNumberFormat="1" applyFont="1" applyBorder="1" applyAlignment="1" applyProtection="1">
      <alignment horizontal="right" vertical="center"/>
    </xf>
    <xf numFmtId="179" fontId="4" fillId="0" borderId="235" xfId="1" applyNumberFormat="1" applyFont="1" applyBorder="1" applyAlignment="1" applyProtection="1">
      <alignment horizontal="right" vertical="center"/>
    </xf>
    <xf numFmtId="179" fontId="4" fillId="0" borderId="233" xfId="0" applyNumberFormat="1" applyFont="1" applyBorder="1" applyAlignment="1">
      <alignment horizontal="right" vertical="center"/>
    </xf>
    <xf numFmtId="0" fontId="4" fillId="0" borderId="127" xfId="0" applyFont="1" applyBorder="1" applyAlignment="1">
      <alignment vertical="center"/>
    </xf>
    <xf numFmtId="0" fontId="7" fillId="0" borderId="230" xfId="0" applyFont="1" applyBorder="1" applyAlignment="1">
      <alignment vertical="center"/>
    </xf>
    <xf numFmtId="184" fontId="4" fillId="0" borderId="236" xfId="1" applyNumberFormat="1" applyFont="1" applyBorder="1" applyAlignment="1" applyProtection="1">
      <alignment horizontal="right" vertical="center"/>
    </xf>
    <xf numFmtId="0" fontId="7" fillId="0" borderId="237" xfId="0" applyFont="1" applyBorder="1" applyAlignment="1">
      <alignment vertical="center"/>
    </xf>
    <xf numFmtId="184" fontId="4" fillId="0" borderId="238" xfId="1" applyNumberFormat="1" applyFont="1" applyBorder="1" applyAlignment="1" applyProtection="1">
      <alignment horizontal="right" vertical="center"/>
    </xf>
    <xf numFmtId="184" fontId="4" fillId="0" borderId="237" xfId="1" applyNumberFormat="1" applyFont="1" applyBorder="1" applyAlignment="1" applyProtection="1">
      <alignment horizontal="right" vertical="center"/>
    </xf>
    <xf numFmtId="179" fontId="4" fillId="5" borderId="122" xfId="1" applyNumberFormat="1" applyFont="1" applyFill="1" applyBorder="1" applyAlignment="1" applyProtection="1">
      <alignment horizontal="right" vertical="center"/>
    </xf>
    <xf numFmtId="184" fontId="4" fillId="0" borderId="121" xfId="0" applyNumberFormat="1" applyFont="1" applyBorder="1" applyAlignment="1">
      <alignment horizontal="right" vertical="center"/>
    </xf>
    <xf numFmtId="179" fontId="4" fillId="0" borderId="123" xfId="0" applyNumberFormat="1" applyFont="1" applyBorder="1" applyAlignment="1">
      <alignment horizontal="right" vertical="center"/>
    </xf>
    <xf numFmtId="179" fontId="4" fillId="0" borderId="124" xfId="0" applyNumberFormat="1" applyFont="1" applyBorder="1" applyAlignment="1">
      <alignment horizontal="right" vertical="center"/>
    </xf>
    <xf numFmtId="179" fontId="4" fillId="0" borderId="122" xfId="0" applyNumberFormat="1" applyFont="1" applyBorder="1" applyAlignment="1">
      <alignment horizontal="right" vertical="center"/>
    </xf>
    <xf numFmtId="179" fontId="4" fillId="14" borderId="138" xfId="1" applyNumberFormat="1" applyFont="1" applyFill="1" applyBorder="1" applyAlignment="1" applyProtection="1">
      <alignment horizontal="right" vertical="center"/>
    </xf>
    <xf numFmtId="179" fontId="4" fillId="14" borderId="0" xfId="1" applyNumberFormat="1" applyFont="1" applyFill="1" applyBorder="1" applyAlignment="1" applyProtection="1">
      <alignment horizontal="right" vertical="center"/>
    </xf>
    <xf numFmtId="179" fontId="4" fillId="14" borderId="133" xfId="1" applyNumberFormat="1" applyFont="1" applyFill="1" applyBorder="1" applyAlignment="1" applyProtection="1">
      <alignment horizontal="right" vertical="center"/>
    </xf>
    <xf numFmtId="179" fontId="4" fillId="14" borderId="47" xfId="1" applyNumberFormat="1" applyFont="1" applyFill="1" applyBorder="1" applyAlignment="1" applyProtection="1">
      <alignment horizontal="right" vertical="center"/>
    </xf>
    <xf numFmtId="179" fontId="4" fillId="14" borderId="47" xfId="0" applyNumberFormat="1" applyFont="1" applyFill="1" applyBorder="1" applyAlignment="1">
      <alignment horizontal="right" vertical="center"/>
    </xf>
    <xf numFmtId="179" fontId="4" fillId="14" borderId="48" xfId="0" applyNumberFormat="1" applyFont="1" applyFill="1" applyBorder="1" applyAlignment="1">
      <alignment horizontal="right" vertical="center"/>
    </xf>
    <xf numFmtId="179" fontId="4" fillId="0" borderId="132" xfId="1" applyNumberFormat="1" applyFont="1" applyFill="1" applyBorder="1" applyAlignment="1" applyProtection="1">
      <alignment horizontal="right" vertical="center"/>
    </xf>
    <xf numFmtId="0" fontId="4" fillId="0" borderId="217" xfId="0" applyFont="1" applyBorder="1" applyAlignment="1">
      <alignment vertical="center"/>
    </xf>
    <xf numFmtId="0" fontId="4" fillId="0" borderId="218" xfId="0" applyFont="1" applyBorder="1" applyAlignment="1">
      <alignment vertical="center"/>
    </xf>
    <xf numFmtId="0" fontId="7" fillId="0" borderId="160" xfId="0" applyFont="1" applyBorder="1" applyAlignment="1">
      <alignment vertical="center"/>
    </xf>
    <xf numFmtId="179" fontId="4" fillId="5" borderId="143" xfId="0" applyNumberFormat="1" applyFont="1" applyFill="1" applyBorder="1" applyAlignment="1">
      <alignment horizontal="right" vertical="center"/>
    </xf>
    <xf numFmtId="179" fontId="4" fillId="0" borderId="141" xfId="0" applyNumberFormat="1" applyFont="1" applyBorder="1" applyAlignment="1">
      <alignment horizontal="right" vertical="center"/>
    </xf>
    <xf numFmtId="179" fontId="4" fillId="0" borderId="159" xfId="0" applyNumberFormat="1" applyFont="1" applyBorder="1" applyAlignment="1">
      <alignment horizontal="right" vertical="center"/>
    </xf>
    <xf numFmtId="179" fontId="4" fillId="0" borderId="225" xfId="0" applyNumberFormat="1" applyFont="1" applyBorder="1" applyAlignment="1">
      <alignment horizontal="right" vertical="center"/>
    </xf>
    <xf numFmtId="179" fontId="4" fillId="0" borderId="143" xfId="1" applyNumberFormat="1" applyFont="1" applyFill="1" applyBorder="1" applyAlignment="1" applyProtection="1">
      <alignment horizontal="right" vertical="center"/>
    </xf>
    <xf numFmtId="179" fontId="4" fillId="5" borderId="227" xfId="1" applyNumberFormat="1" applyFont="1" applyFill="1" applyBorder="1" applyAlignment="1" applyProtection="1">
      <alignment horizontal="right" vertical="center"/>
    </xf>
    <xf numFmtId="184" fontId="4" fillId="0" borderId="239" xfId="0" applyNumberFormat="1" applyFont="1" applyBorder="1" applyAlignment="1">
      <alignment horizontal="right" vertical="center"/>
    </xf>
    <xf numFmtId="179" fontId="4" fillId="0" borderId="240" xfId="0" applyNumberFormat="1" applyFont="1" applyBorder="1" applyAlignment="1">
      <alignment horizontal="right" vertical="center"/>
    </xf>
    <xf numFmtId="179" fontId="4" fillId="0" borderId="229" xfId="0" applyNumberFormat="1" applyFont="1" applyBorder="1" applyAlignment="1">
      <alignment horizontal="right" vertical="center"/>
    </xf>
    <xf numFmtId="184" fontId="4" fillId="0" borderId="241" xfId="0" applyNumberFormat="1" applyFont="1" applyBorder="1" applyAlignment="1">
      <alignment horizontal="right" vertical="center"/>
    </xf>
    <xf numFmtId="179" fontId="4" fillId="0" borderId="227" xfId="1" applyNumberFormat="1" applyFont="1" applyFill="1" applyBorder="1" applyAlignment="1" applyProtection="1">
      <alignment horizontal="right" vertical="center"/>
    </xf>
    <xf numFmtId="179" fontId="4" fillId="5" borderId="233" xfId="1" applyNumberFormat="1" applyFont="1" applyFill="1" applyBorder="1" applyAlignment="1" applyProtection="1">
      <alignment horizontal="right" vertical="center"/>
    </xf>
    <xf numFmtId="184" fontId="4" fillId="0" borderId="242" xfId="0" applyNumberFormat="1" applyFont="1" applyBorder="1" applyAlignment="1">
      <alignment horizontal="right" vertical="center"/>
    </xf>
    <xf numFmtId="179" fontId="4" fillId="0" borderId="243" xfId="0" applyNumberFormat="1" applyFont="1" applyBorder="1" applyAlignment="1">
      <alignment horizontal="right" vertical="center"/>
    </xf>
    <xf numFmtId="184" fontId="4" fillId="0" borderId="237" xfId="0" applyNumberFormat="1" applyFont="1" applyBorder="1" applyAlignment="1">
      <alignment horizontal="right" vertical="center"/>
    </xf>
    <xf numFmtId="179" fontId="4" fillId="0" borderId="235" xfId="0" applyNumberFormat="1" applyFont="1" applyBorder="1" applyAlignment="1">
      <alignment horizontal="right" vertical="center"/>
    </xf>
    <xf numFmtId="184" fontId="4" fillId="0" borderId="244" xfId="0" applyNumberFormat="1" applyFont="1" applyBorder="1" applyAlignment="1">
      <alignment horizontal="right" vertical="center"/>
    </xf>
    <xf numFmtId="179" fontId="4" fillId="0" borderId="233" xfId="1" applyNumberFormat="1" applyFont="1" applyFill="1" applyBorder="1" applyAlignment="1" applyProtection="1">
      <alignment horizontal="right" vertical="center"/>
    </xf>
    <xf numFmtId="0" fontId="4" fillId="0" borderId="116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79" fontId="4" fillId="5" borderId="111" xfId="1" applyNumberFormat="1" applyFont="1" applyFill="1" applyBorder="1" applyAlignment="1" applyProtection="1">
      <alignment horizontal="right" vertical="center"/>
    </xf>
    <xf numFmtId="184" fontId="4" fillId="0" borderId="118" xfId="0" applyNumberFormat="1" applyFont="1" applyBorder="1" applyAlignment="1">
      <alignment horizontal="right" vertical="center"/>
    </xf>
    <xf numFmtId="179" fontId="4" fillId="0" borderId="119" xfId="0" applyNumberFormat="1" applyFont="1" applyBorder="1" applyAlignment="1">
      <alignment horizontal="right" vertical="center"/>
    </xf>
    <xf numFmtId="184" fontId="4" fillId="0" borderId="116" xfId="0" applyNumberFormat="1" applyFont="1" applyBorder="1" applyAlignment="1">
      <alignment horizontal="right" vertical="center"/>
    </xf>
    <xf numFmtId="179" fontId="4" fillId="0" borderId="111" xfId="1" applyNumberFormat="1" applyFont="1" applyFill="1" applyBorder="1" applyAlignment="1" applyProtection="1">
      <alignment horizontal="right" vertical="center"/>
    </xf>
    <xf numFmtId="0" fontId="4" fillId="0" borderId="116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7" fillId="0" borderId="110" xfId="0" applyFont="1" applyBorder="1" applyAlignment="1">
      <alignment vertical="center"/>
    </xf>
    <xf numFmtId="179" fontId="4" fillId="0" borderId="120" xfId="0" applyNumberFormat="1" applyFont="1" applyBorder="1" applyAlignment="1">
      <alignment horizontal="right" vertical="center"/>
    </xf>
    <xf numFmtId="0" fontId="4" fillId="0" borderId="84" xfId="0" applyFont="1" applyBorder="1" applyAlignment="1">
      <alignment vertical="center"/>
    </xf>
    <xf numFmtId="179" fontId="4" fillId="0" borderId="138" xfId="1" applyNumberFormat="1" applyFont="1" applyFill="1" applyBorder="1" applyAlignment="1" applyProtection="1">
      <alignment horizontal="right" vertical="center"/>
    </xf>
    <xf numFmtId="179" fontId="4" fillId="5" borderId="132" xfId="1" applyNumberFormat="1" applyFont="1" applyFill="1" applyBorder="1" applyAlignment="1" applyProtection="1">
      <alignment horizontal="right" vertical="center"/>
    </xf>
    <xf numFmtId="0" fontId="4" fillId="0" borderId="115" xfId="0" applyFont="1" applyBorder="1" applyAlignment="1">
      <alignment vertical="center"/>
    </xf>
    <xf numFmtId="0" fontId="4" fillId="0" borderId="129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179" fontId="4" fillId="5" borderId="128" xfId="1" applyNumberFormat="1" applyFont="1" applyFill="1" applyBorder="1" applyAlignment="1" applyProtection="1">
      <alignment horizontal="right" vertical="center"/>
    </xf>
    <xf numFmtId="179" fontId="4" fillId="0" borderId="129" xfId="0" applyNumberFormat="1" applyFont="1" applyBorder="1" applyAlignment="1">
      <alignment horizontal="right" vertical="center"/>
    </xf>
    <xf numFmtId="179" fontId="4" fillId="0" borderId="130" xfId="0" applyNumberFormat="1" applyFont="1" applyBorder="1" applyAlignment="1">
      <alignment horizontal="right" vertical="center"/>
    </xf>
    <xf numFmtId="179" fontId="4" fillId="0" borderId="115" xfId="0" applyNumberFormat="1" applyFont="1" applyBorder="1" applyAlignment="1">
      <alignment horizontal="right" vertical="center"/>
    </xf>
    <xf numFmtId="179" fontId="4" fillId="0" borderId="131" xfId="0" applyNumberFormat="1" applyFont="1" applyBorder="1" applyAlignment="1">
      <alignment horizontal="right" vertical="center"/>
    </xf>
    <xf numFmtId="179" fontId="4" fillId="0" borderId="128" xfId="1" applyNumberFormat="1" applyFont="1" applyFill="1" applyBorder="1" applyAlignment="1" applyProtection="1">
      <alignment horizontal="right" vertical="center"/>
    </xf>
    <xf numFmtId="179" fontId="4" fillId="14" borderId="134" xfId="1" applyNumberFormat="1" applyFont="1" applyFill="1" applyBorder="1" applyAlignment="1" applyProtection="1">
      <alignment horizontal="right" vertical="center"/>
    </xf>
    <xf numFmtId="179" fontId="4" fillId="0" borderId="134" xfId="1" applyNumberFormat="1" applyFont="1" applyFill="1" applyBorder="1" applyAlignment="1" applyProtection="1">
      <alignment horizontal="right" vertical="center"/>
    </xf>
    <xf numFmtId="179" fontId="5" fillId="6" borderId="138" xfId="1" applyNumberFormat="1" applyFont="1" applyFill="1" applyBorder="1" applyAlignment="1" applyProtection="1">
      <alignment horizontal="right" vertical="center"/>
    </xf>
    <xf numFmtId="179" fontId="8" fillId="0" borderId="139" xfId="1" applyNumberFormat="1" applyFont="1" applyFill="1" applyBorder="1" applyAlignment="1" applyProtection="1">
      <alignment horizontal="right" vertical="center"/>
    </xf>
    <xf numFmtId="179" fontId="5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Alignment="1" applyProtection="1">
      <alignment vertical="center"/>
    </xf>
    <xf numFmtId="0" fontId="9" fillId="0" borderId="0" xfId="1" applyNumberFormat="1" applyFont="1" applyFill="1" applyBorder="1" applyAlignment="1" applyProtection="1">
      <alignment vertical="center"/>
    </xf>
    <xf numFmtId="0" fontId="0" fillId="0" borderId="0" xfId="1" applyNumberFormat="1" applyFont="1" applyAlignment="1" applyProtection="1">
      <alignment vertical="center"/>
    </xf>
    <xf numFmtId="0" fontId="1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140" xfId="0" applyFont="1" applyBorder="1" applyAlignment="1">
      <alignment vertical="center"/>
    </xf>
    <xf numFmtId="0" fontId="4" fillId="0" borderId="141" xfId="0" applyFont="1" applyBorder="1" applyAlignment="1">
      <alignment vertical="center"/>
    </xf>
    <xf numFmtId="0" fontId="4" fillId="0" borderId="142" xfId="0" applyFont="1" applyBorder="1" applyAlignment="1">
      <alignment vertical="center"/>
    </xf>
    <xf numFmtId="0" fontId="4" fillId="0" borderId="143" xfId="0" applyFont="1" applyBorder="1" applyAlignment="1">
      <alignment vertical="center"/>
    </xf>
    <xf numFmtId="41" fontId="4" fillId="0" borderId="144" xfId="1" applyNumberFormat="1" applyFont="1" applyFill="1" applyBorder="1" applyAlignment="1" applyProtection="1">
      <alignment vertical="center"/>
    </xf>
    <xf numFmtId="41" fontId="4" fillId="0" borderId="145" xfId="1" applyNumberFormat="1" applyFont="1" applyFill="1" applyBorder="1" applyAlignment="1" applyProtection="1">
      <alignment vertical="center"/>
    </xf>
    <xf numFmtId="41" fontId="4" fillId="0" borderId="145" xfId="0" applyNumberFormat="1" applyFont="1" applyBorder="1" applyAlignment="1">
      <alignment vertical="center"/>
    </xf>
    <xf numFmtId="41" fontId="4" fillId="0" borderId="146" xfId="0" applyNumberFormat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132" xfId="0" applyFont="1" applyBorder="1" applyAlignment="1">
      <alignment horizontal="center" vertical="center"/>
    </xf>
    <xf numFmtId="186" fontId="4" fillId="0" borderId="43" xfId="0" applyNumberFormat="1" applyFont="1" applyBorder="1" applyAlignment="1">
      <alignment vertical="center"/>
    </xf>
    <xf numFmtId="188" fontId="4" fillId="0" borderId="133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87" fontId="4" fillId="0" borderId="133" xfId="1" applyNumberFormat="1" applyFont="1" applyFill="1" applyBorder="1" applyAlignment="1" applyProtection="1">
      <alignment horizontal="center" vertical="center"/>
    </xf>
    <xf numFmtId="0" fontId="4" fillId="0" borderId="82" xfId="0" applyFont="1" applyBorder="1" applyAlignment="1">
      <alignment vertical="center"/>
    </xf>
    <xf numFmtId="0" fontId="4" fillId="0" borderId="138" xfId="0" applyFont="1" applyBorder="1" applyAlignment="1">
      <alignment vertical="center"/>
    </xf>
    <xf numFmtId="41" fontId="10" fillId="4" borderId="147" xfId="0" applyNumberFormat="1" applyFont="1" applyFill="1" applyBorder="1" applyAlignment="1">
      <alignment horizontal="center" vertical="center"/>
    </xf>
    <xf numFmtId="41" fontId="10" fillId="4" borderId="42" xfId="0" applyNumberFormat="1" applyFont="1" applyFill="1" applyBorder="1" applyAlignment="1">
      <alignment horizontal="center" vertical="center"/>
    </xf>
    <xf numFmtId="0" fontId="4" fillId="0" borderId="150" xfId="0" applyFont="1" applyBorder="1" applyAlignment="1">
      <alignment vertical="center"/>
    </xf>
    <xf numFmtId="0" fontId="4" fillId="0" borderId="151" xfId="0" applyFont="1" applyBorder="1" applyAlignment="1">
      <alignment vertical="center"/>
    </xf>
    <xf numFmtId="179" fontId="4" fillId="0" borderId="128" xfId="0" applyNumberFormat="1" applyFont="1" applyBorder="1" applyAlignment="1">
      <alignment vertical="center"/>
    </xf>
    <xf numFmtId="0" fontId="4" fillId="0" borderId="152" xfId="0" applyFont="1" applyBorder="1" applyAlignment="1">
      <alignment vertical="center"/>
    </xf>
    <xf numFmtId="179" fontId="4" fillId="0" borderId="130" xfId="0" applyNumberFormat="1" applyFont="1" applyBorder="1" applyAlignment="1">
      <alignment vertical="center"/>
    </xf>
    <xf numFmtId="0" fontId="4" fillId="0" borderId="153" xfId="0" applyFont="1" applyBorder="1" applyAlignment="1">
      <alignment vertical="center"/>
    </xf>
    <xf numFmtId="179" fontId="4" fillId="0" borderId="131" xfId="0" applyNumberFormat="1" applyFont="1" applyBorder="1" applyAlignment="1">
      <alignment vertical="center"/>
    </xf>
    <xf numFmtId="176" fontId="4" fillId="0" borderId="177" xfId="1" applyNumberFormat="1" applyFont="1" applyBorder="1" applyAlignment="1" applyProtection="1">
      <alignment vertical="center"/>
    </xf>
    <xf numFmtId="179" fontId="4" fillId="0" borderId="178" xfId="0" applyNumberFormat="1" applyFont="1" applyBorder="1" applyAlignment="1">
      <alignment vertical="center"/>
    </xf>
    <xf numFmtId="176" fontId="4" fillId="0" borderId="179" xfId="1" applyNumberFormat="1" applyFont="1" applyBorder="1" applyAlignment="1" applyProtection="1">
      <alignment vertical="center"/>
    </xf>
    <xf numFmtId="184" fontId="4" fillId="0" borderId="180" xfId="0" applyNumberFormat="1" applyFont="1" applyBorder="1" applyAlignment="1">
      <alignment vertical="center"/>
    </xf>
    <xf numFmtId="176" fontId="4" fillId="0" borderId="179" xfId="0" applyNumberFormat="1" applyFont="1" applyBorder="1" applyAlignment="1">
      <alignment vertical="center"/>
    </xf>
    <xf numFmtId="176" fontId="4" fillId="0" borderId="181" xfId="0" applyNumberFormat="1" applyFont="1" applyBorder="1" applyAlignment="1">
      <alignment vertical="center"/>
    </xf>
    <xf numFmtId="0" fontId="4" fillId="0" borderId="117" xfId="0" applyFont="1" applyBorder="1" applyAlignment="1">
      <alignment vertical="center"/>
    </xf>
    <xf numFmtId="0" fontId="7" fillId="0" borderId="113" xfId="0" applyFont="1" applyBorder="1" applyAlignment="1">
      <alignment vertical="center"/>
    </xf>
    <xf numFmtId="176" fontId="4" fillId="0" borderId="107" xfId="1" applyNumberFormat="1" applyFont="1" applyBorder="1" applyAlignment="1" applyProtection="1">
      <alignment vertical="center"/>
    </xf>
    <xf numFmtId="179" fontId="4" fillId="0" borderId="148" xfId="0" applyNumberFormat="1" applyFont="1" applyBorder="1" applyAlignment="1">
      <alignment vertical="center"/>
    </xf>
    <xf numFmtId="176" fontId="4" fillId="0" borderId="108" xfId="1" applyNumberFormat="1" applyFont="1" applyBorder="1" applyAlignment="1" applyProtection="1">
      <alignment vertical="center"/>
    </xf>
    <xf numFmtId="184" fontId="4" fillId="0" borderId="149" xfId="0" applyNumberFormat="1" applyFont="1" applyBorder="1" applyAlignment="1">
      <alignment vertical="center"/>
    </xf>
    <xf numFmtId="176" fontId="4" fillId="0" borderId="108" xfId="0" applyNumberFormat="1" applyFont="1" applyBorder="1" applyAlignment="1">
      <alignment vertical="center"/>
    </xf>
    <xf numFmtId="176" fontId="4" fillId="0" borderId="109" xfId="0" applyNumberFormat="1" applyFont="1" applyBorder="1" applyAlignment="1">
      <alignment vertical="center"/>
    </xf>
    <xf numFmtId="176" fontId="4" fillId="0" borderId="128" xfId="0" applyNumberFormat="1" applyFont="1" applyBorder="1" applyAlignment="1">
      <alignment vertical="center"/>
    </xf>
    <xf numFmtId="184" fontId="4" fillId="0" borderId="152" xfId="0" applyNumberFormat="1" applyFont="1" applyBorder="1" applyAlignment="1">
      <alignment vertical="center"/>
    </xf>
    <xf numFmtId="176" fontId="4" fillId="0" borderId="130" xfId="0" applyNumberFormat="1" applyFont="1" applyBorder="1" applyAlignment="1">
      <alignment vertical="center"/>
    </xf>
    <xf numFmtId="184" fontId="4" fillId="0" borderId="153" xfId="0" applyNumberFormat="1" applyFont="1" applyBorder="1" applyAlignment="1">
      <alignment vertical="center"/>
    </xf>
    <xf numFmtId="176" fontId="4" fillId="0" borderId="131" xfId="0" applyNumberFormat="1" applyFont="1" applyBorder="1" applyAlignment="1">
      <alignment vertical="center"/>
    </xf>
    <xf numFmtId="176" fontId="4" fillId="0" borderId="100" xfId="0" applyNumberFormat="1" applyFont="1" applyBorder="1" applyAlignment="1">
      <alignment vertical="center"/>
    </xf>
    <xf numFmtId="179" fontId="4" fillId="0" borderId="41" xfId="0" applyNumberFormat="1" applyFont="1" applyBorder="1" applyAlignment="1">
      <alignment vertical="center"/>
    </xf>
    <xf numFmtId="176" fontId="4" fillId="0" borderId="10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9" fontId="4" fillId="0" borderId="0" xfId="0" applyNumberFormat="1" applyFont="1" applyAlignment="1">
      <alignment vertical="center"/>
    </xf>
    <xf numFmtId="41" fontId="4" fillId="0" borderId="19" xfId="0" applyNumberFormat="1" applyFont="1" applyBorder="1" applyAlignment="1">
      <alignment vertical="center"/>
    </xf>
    <xf numFmtId="179" fontId="0" fillId="0" borderId="209" xfId="0" applyNumberFormat="1" applyBorder="1" applyAlignment="1">
      <alignment horizontal="right" vertical="center"/>
    </xf>
    <xf numFmtId="3" fontId="30" fillId="9" borderId="143" xfId="0" applyNumberFormat="1" applyFont="1" applyFill="1" applyBorder="1" applyAlignment="1">
      <alignment horizontal="center" vertical="center" shrinkToFit="1"/>
    </xf>
    <xf numFmtId="0" fontId="0" fillId="0" borderId="9" xfId="0" applyBorder="1" applyAlignment="1">
      <alignment vertical="center"/>
    </xf>
    <xf numFmtId="0" fontId="30" fillId="8" borderId="82" xfId="0" applyFont="1" applyFill="1" applyBorder="1" applyAlignment="1">
      <alignment vertical="center"/>
    </xf>
    <xf numFmtId="0" fontId="30" fillId="8" borderId="84" xfId="0" applyFont="1" applyFill="1" applyBorder="1" applyAlignment="1">
      <alignment vertical="center"/>
    </xf>
    <xf numFmtId="179" fontId="30" fillId="8" borderId="48" xfId="0" applyNumberFormat="1" applyFont="1" applyFill="1" applyBorder="1" applyAlignment="1">
      <alignment vertical="center"/>
    </xf>
    <xf numFmtId="179" fontId="0" fillId="0" borderId="48" xfId="1" applyNumberFormat="1" applyFont="1" applyBorder="1" applyAlignment="1" applyProtection="1">
      <alignment vertical="center"/>
    </xf>
    <xf numFmtId="0" fontId="30" fillId="0" borderId="82" xfId="0" applyFont="1" applyBorder="1" applyAlignment="1">
      <alignment vertical="center"/>
    </xf>
    <xf numFmtId="3" fontId="30" fillId="9" borderId="132" xfId="0" applyNumberFormat="1" applyFont="1" applyFill="1" applyBorder="1" applyAlignment="1">
      <alignment horizontal="center" vertical="center" shrinkToFit="1"/>
    </xf>
    <xf numFmtId="184" fontId="4" fillId="0" borderId="0" xfId="0" applyNumberFormat="1" applyFont="1" applyAlignment="1">
      <alignment horizontal="right" vertical="center"/>
    </xf>
    <xf numFmtId="179" fontId="4" fillId="0" borderId="133" xfId="0" applyNumberFormat="1" applyFont="1" applyBorder="1" applyAlignment="1">
      <alignment horizontal="right" vertical="center"/>
    </xf>
    <xf numFmtId="184" fontId="4" fillId="0" borderId="47" xfId="0" applyNumberFormat="1" applyFont="1" applyBorder="1" applyAlignment="1">
      <alignment horizontal="right" vertical="center"/>
    </xf>
    <xf numFmtId="179" fontId="4" fillId="0" borderId="48" xfId="0" applyNumberFormat="1" applyFont="1" applyBorder="1" applyAlignment="1">
      <alignment horizontal="right" vertical="center"/>
    </xf>
    <xf numFmtId="179" fontId="4" fillId="0" borderId="130" xfId="0" applyNumberFormat="1" applyFont="1" applyBorder="1" applyAlignment="1">
      <alignment vertical="center" shrinkToFit="1"/>
    </xf>
    <xf numFmtId="179" fontId="4" fillId="14" borderId="69" xfId="1" applyNumberFormat="1" applyFont="1" applyFill="1" applyBorder="1" applyAlignment="1" applyProtection="1">
      <alignment horizontal="right" vertical="center"/>
    </xf>
    <xf numFmtId="179" fontId="4" fillId="14" borderId="163" xfId="1" applyNumberFormat="1" applyFont="1" applyFill="1" applyBorder="1" applyAlignment="1" applyProtection="1">
      <alignment horizontal="right" vertical="center"/>
    </xf>
    <xf numFmtId="179" fontId="4" fillId="14" borderId="176" xfId="1" applyNumberFormat="1" applyFont="1" applyFill="1" applyBorder="1" applyAlignment="1" applyProtection="1">
      <alignment horizontal="right" vertical="center"/>
    </xf>
    <xf numFmtId="179" fontId="4" fillId="14" borderId="45" xfId="1" applyNumberFormat="1" applyFont="1" applyFill="1" applyBorder="1" applyAlignment="1" applyProtection="1">
      <alignment horizontal="right" vertical="center"/>
    </xf>
    <xf numFmtId="179" fontId="4" fillId="14" borderId="45" xfId="0" applyNumberFormat="1" applyFont="1" applyFill="1" applyBorder="1" applyAlignment="1">
      <alignment horizontal="right" vertical="center"/>
    </xf>
    <xf numFmtId="179" fontId="4" fillId="14" borderId="46" xfId="0" applyNumberFormat="1" applyFont="1" applyFill="1" applyBorder="1" applyAlignment="1">
      <alignment horizontal="right" vertical="center"/>
    </xf>
    <xf numFmtId="179" fontId="4" fillId="0" borderId="69" xfId="1" applyNumberFormat="1" applyFont="1" applyFill="1" applyBorder="1" applyAlignment="1" applyProtection="1">
      <alignment horizontal="right" vertical="center"/>
    </xf>
    <xf numFmtId="0" fontId="7" fillId="0" borderId="141" xfId="0" applyFont="1" applyBorder="1" applyAlignment="1">
      <alignment vertical="center"/>
    </xf>
    <xf numFmtId="179" fontId="4" fillId="5" borderId="143" xfId="1" applyNumberFormat="1" applyFont="1" applyFill="1" applyBorder="1" applyAlignment="1" applyProtection="1">
      <alignment horizontal="right" vertical="center"/>
    </xf>
    <xf numFmtId="179" fontId="4" fillId="0" borderId="258" xfId="0" applyNumberFormat="1" applyFont="1" applyBorder="1" applyAlignment="1">
      <alignment horizontal="right" vertical="center"/>
    </xf>
    <xf numFmtId="179" fontId="4" fillId="14" borderId="135" xfId="0" applyNumberFormat="1" applyFont="1" applyFill="1" applyBorder="1" applyAlignment="1">
      <alignment horizontal="right" vertical="center"/>
    </xf>
    <xf numFmtId="179" fontId="4" fillId="14" borderId="259" xfId="0" applyNumberFormat="1" applyFont="1" applyFill="1" applyBorder="1" applyAlignment="1">
      <alignment horizontal="right" vertical="center"/>
    </xf>
    <xf numFmtId="179" fontId="4" fillId="14" borderId="136" xfId="0" applyNumberFormat="1" applyFont="1" applyFill="1" applyBorder="1" applyAlignment="1">
      <alignment horizontal="right" vertical="center"/>
    </xf>
    <xf numFmtId="179" fontId="4" fillId="14" borderId="137" xfId="0" applyNumberFormat="1" applyFont="1" applyFill="1" applyBorder="1" applyAlignment="1">
      <alignment horizontal="right" vertical="center"/>
    </xf>
    <xf numFmtId="0" fontId="28" fillId="13" borderId="261" xfId="0" applyFont="1" applyFill="1" applyBorder="1" applyAlignment="1">
      <alignment horizontal="center" vertical="center"/>
    </xf>
    <xf numFmtId="0" fontId="28" fillId="13" borderId="210" xfId="0" applyFont="1" applyFill="1" applyBorder="1" applyAlignment="1">
      <alignment horizontal="center" vertical="center"/>
    </xf>
    <xf numFmtId="0" fontId="28" fillId="13" borderId="209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91" fontId="4" fillId="0" borderId="32" xfId="0" applyNumberFormat="1" applyFont="1" applyBorder="1" applyAlignment="1">
      <alignment vertical="center"/>
    </xf>
    <xf numFmtId="192" fontId="4" fillId="0" borderId="32" xfId="0" applyNumberFormat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192" fontId="4" fillId="0" borderId="38" xfId="0" applyNumberFormat="1" applyFont="1" applyBorder="1" applyAlignment="1">
      <alignment vertical="center"/>
    </xf>
    <xf numFmtId="179" fontId="0" fillId="0" borderId="114" xfId="0" applyNumberFormat="1" applyBorder="1" applyAlignment="1">
      <alignment vertical="center"/>
    </xf>
    <xf numFmtId="179" fontId="0" fillId="0" borderId="32" xfId="1" applyNumberFormat="1" applyFont="1" applyBorder="1" applyAlignment="1" applyProtection="1">
      <alignment horizontal="right" vertical="center" indent="1"/>
    </xf>
    <xf numFmtId="179" fontId="0" fillId="0" borderId="33" xfId="1" applyNumberFormat="1" applyFont="1" applyBorder="1" applyAlignment="1" applyProtection="1">
      <alignment horizontal="center" vertical="center"/>
    </xf>
    <xf numFmtId="179" fontId="30" fillId="7" borderId="48" xfId="0" applyNumberFormat="1" applyFont="1" applyFill="1" applyBorder="1" applyAlignment="1">
      <alignment vertical="center"/>
    </xf>
    <xf numFmtId="38" fontId="30" fillId="0" borderId="0" xfId="0" applyNumberFormat="1" applyFont="1" applyAlignment="1">
      <alignment horizontal="centerContinuous" vertical="center"/>
    </xf>
    <xf numFmtId="0" fontId="30" fillId="7" borderId="82" xfId="0" applyFont="1" applyFill="1" applyBorder="1" applyAlignment="1">
      <alignment vertical="center"/>
    </xf>
    <xf numFmtId="0" fontId="30" fillId="7" borderId="84" xfId="0" applyFont="1" applyFill="1" applyBorder="1" applyAlignment="1">
      <alignment vertical="center"/>
    </xf>
    <xf numFmtId="0" fontId="0" fillId="0" borderId="140" xfId="0" applyBorder="1" applyAlignment="1">
      <alignment vertical="center"/>
    </xf>
    <xf numFmtId="0" fontId="0" fillId="0" borderId="142" xfId="0" applyBorder="1" applyAlignment="1">
      <alignment vertical="center"/>
    </xf>
    <xf numFmtId="179" fontId="4" fillId="0" borderId="132" xfId="0" applyNumberFormat="1" applyFont="1" applyBorder="1" applyAlignment="1">
      <alignment horizontal="right" vertical="center"/>
    </xf>
    <xf numFmtId="179" fontId="4" fillId="5" borderId="48" xfId="0" applyNumberFormat="1" applyFont="1" applyFill="1" applyBorder="1" applyAlignment="1">
      <alignment horizontal="right" vertical="center"/>
    </xf>
    <xf numFmtId="0" fontId="7" fillId="0" borderId="262" xfId="0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4" fillId="0" borderId="31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184" fontId="4" fillId="0" borderId="118" xfId="1" applyNumberFormat="1" applyFont="1" applyBorder="1" applyAlignment="1" applyProtection="1">
      <alignment horizontal="right" vertical="center"/>
    </xf>
    <xf numFmtId="179" fontId="4" fillId="0" borderId="264" xfId="1" applyNumberFormat="1" applyFont="1" applyBorder="1" applyAlignment="1" applyProtection="1">
      <alignment horizontal="right" vertical="center"/>
    </xf>
    <xf numFmtId="184" fontId="4" fillId="0" borderId="116" xfId="1" applyNumberFormat="1" applyFont="1" applyBorder="1" applyAlignment="1" applyProtection="1">
      <alignment horizontal="right" vertical="center"/>
    </xf>
    <xf numFmtId="179" fontId="4" fillId="0" borderId="263" xfId="1" applyNumberFormat="1" applyFont="1" applyBorder="1" applyAlignment="1" applyProtection="1">
      <alignment horizontal="right" vertical="center"/>
    </xf>
    <xf numFmtId="0" fontId="0" fillId="0" borderId="132" xfId="0" applyBorder="1" applyAlignment="1">
      <alignment vertical="center"/>
    </xf>
    <xf numFmtId="0" fontId="10" fillId="11" borderId="143" xfId="0" applyFont="1" applyFill="1" applyBorder="1" applyAlignment="1">
      <alignment horizontal="center" vertical="center"/>
    </xf>
    <xf numFmtId="0" fontId="10" fillId="11" borderId="125" xfId="0" applyFont="1" applyFill="1" applyBorder="1" applyAlignment="1">
      <alignment horizontal="center" vertical="center"/>
    </xf>
    <xf numFmtId="193" fontId="30" fillId="7" borderId="85" xfId="1" applyNumberFormat="1" applyFont="1" applyFill="1" applyBorder="1" applyAlignment="1" applyProtection="1">
      <alignment horizontal="right" vertical="center"/>
    </xf>
    <xf numFmtId="193" fontId="30" fillId="8" borderId="85" xfId="1" applyNumberFormat="1" applyFont="1" applyFill="1" applyBorder="1" applyAlignment="1" applyProtection="1">
      <alignment horizontal="right" vertical="center"/>
    </xf>
    <xf numFmtId="193" fontId="30" fillId="0" borderId="85" xfId="1" applyNumberFormat="1" applyFont="1" applyBorder="1" applyAlignment="1" applyProtection="1">
      <alignment horizontal="right" vertical="center"/>
    </xf>
    <xf numFmtId="0" fontId="28" fillId="11" borderId="157" xfId="0" applyFont="1" applyFill="1" applyBorder="1" applyAlignment="1">
      <alignment vertical="center"/>
    </xf>
    <xf numFmtId="181" fontId="4" fillId="10" borderId="0" xfId="0" applyNumberFormat="1" applyFont="1" applyFill="1" applyAlignment="1">
      <alignment vertical="center"/>
    </xf>
    <xf numFmtId="0" fontId="21" fillId="0" borderId="0" xfId="0" applyFont="1" applyAlignment="1">
      <alignment horizontal="center" vertical="center" wrapText="1"/>
    </xf>
    <xf numFmtId="181" fontId="4" fillId="0" borderId="0" xfId="0" applyNumberFormat="1" applyFont="1" applyAlignment="1">
      <alignment vertical="center"/>
    </xf>
    <xf numFmtId="12" fontId="34" fillId="0" borderId="10" xfId="0" applyNumberFormat="1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4" fillId="10" borderId="265" xfId="0" applyFont="1" applyFill="1" applyBorder="1" applyAlignment="1">
      <alignment horizontal="center" vertical="center"/>
    </xf>
    <xf numFmtId="0" fontId="30" fillId="0" borderId="0" xfId="0" applyFont="1" applyAlignment="1">
      <alignment horizontal="right" vertical="center" indent="1"/>
    </xf>
    <xf numFmtId="176" fontId="30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12" fontId="4" fillId="0" borderId="71" xfId="0" applyNumberFormat="1" applyFont="1" applyBorder="1" applyAlignment="1">
      <alignment vertical="center"/>
    </xf>
    <xf numFmtId="41" fontId="34" fillId="0" borderId="162" xfId="0" applyNumberFormat="1" applyFont="1" applyBorder="1" applyAlignment="1">
      <alignment vertical="center"/>
    </xf>
    <xf numFmtId="41" fontId="34" fillId="0" borderId="19" xfId="0" applyNumberFormat="1" applyFont="1" applyBorder="1" applyAlignment="1">
      <alignment vertical="center"/>
    </xf>
    <xf numFmtId="41" fontId="34" fillId="0" borderId="46" xfId="0" applyNumberFormat="1" applyFont="1" applyBorder="1" applyAlignment="1">
      <alignment vertical="center"/>
    </xf>
    <xf numFmtId="41" fontId="34" fillId="0" borderId="51" xfId="0" applyNumberFormat="1" applyFont="1" applyBorder="1" applyAlignment="1">
      <alignment vertical="center"/>
    </xf>
    <xf numFmtId="12" fontId="4" fillId="0" borderId="19" xfId="0" applyNumberFormat="1" applyFont="1" applyBorder="1" applyAlignment="1">
      <alignment vertical="center"/>
    </xf>
    <xf numFmtId="12" fontId="4" fillId="0" borderId="18" xfId="0" applyNumberFormat="1" applyFont="1" applyBorder="1" applyAlignment="1">
      <alignment vertical="center"/>
    </xf>
    <xf numFmtId="181" fontId="36" fillId="0" borderId="11" xfId="0" applyNumberFormat="1" applyFont="1" applyBorder="1" applyAlignment="1">
      <alignment vertical="center" wrapText="1"/>
    </xf>
    <xf numFmtId="0" fontId="36" fillId="0" borderId="15" xfId="0" applyFont="1" applyBorder="1" applyAlignment="1">
      <alignment vertical="center" wrapText="1"/>
    </xf>
    <xf numFmtId="181" fontId="36" fillId="0" borderId="15" xfId="0" applyNumberFormat="1" applyFont="1" applyBorder="1" applyAlignment="1">
      <alignment vertical="center" wrapText="1"/>
    </xf>
    <xf numFmtId="0" fontId="36" fillId="0" borderId="14" xfId="0" applyFont="1" applyBorder="1" applyAlignment="1">
      <alignment vertical="center" wrapText="1"/>
    </xf>
    <xf numFmtId="0" fontId="36" fillId="10" borderId="50" xfId="0" applyFont="1" applyFill="1" applyBorder="1" applyAlignment="1">
      <alignment horizontal="center" vertical="center"/>
    </xf>
    <xf numFmtId="0" fontId="36" fillId="10" borderId="70" xfId="0" applyFont="1" applyFill="1" applyBorder="1" applyAlignment="1">
      <alignment horizontal="center" vertical="center"/>
    </xf>
    <xf numFmtId="0" fontId="36" fillId="10" borderId="156" xfId="0" applyFont="1" applyFill="1" applyBorder="1" applyAlignment="1">
      <alignment horizontal="center" vertical="center"/>
    </xf>
    <xf numFmtId="0" fontId="36" fillId="10" borderId="158" xfId="0" applyFont="1" applyFill="1" applyBorder="1" applyAlignment="1">
      <alignment horizontal="center" vertical="center"/>
    </xf>
    <xf numFmtId="12" fontId="36" fillId="0" borderId="156" xfId="0" applyNumberFormat="1" applyFont="1" applyBorder="1" applyAlignment="1">
      <alignment vertical="center"/>
    </xf>
    <xf numFmtId="12" fontId="36" fillId="0" borderId="28" xfId="0" applyNumberFormat="1" applyFont="1" applyBorder="1" applyAlignment="1">
      <alignment vertical="center"/>
    </xf>
    <xf numFmtId="12" fontId="36" fillId="0" borderId="158" xfId="0" applyNumberFormat="1" applyFont="1" applyBorder="1" applyAlignment="1">
      <alignment vertical="center"/>
    </xf>
    <xf numFmtId="12" fontId="36" fillId="0" borderId="34" xfId="0" applyNumberFormat="1" applyFont="1" applyBorder="1" applyAlignment="1">
      <alignment vertical="center"/>
    </xf>
    <xf numFmtId="0" fontId="34" fillId="0" borderId="6" xfId="0" applyFont="1" applyBorder="1" applyAlignment="1">
      <alignment vertical="center"/>
    </xf>
    <xf numFmtId="0" fontId="34" fillId="0" borderId="14" xfId="0" applyFont="1" applyBorder="1" applyAlignment="1">
      <alignment vertical="center"/>
    </xf>
    <xf numFmtId="0" fontId="34" fillId="0" borderId="17" xfId="0" applyFont="1" applyBorder="1" applyAlignment="1">
      <alignment vertical="center"/>
    </xf>
    <xf numFmtId="41" fontId="4" fillId="0" borderId="9" xfId="0" applyNumberFormat="1" applyFont="1" applyBorder="1" applyAlignment="1">
      <alignment horizontal="right" vertical="center"/>
    </xf>
    <xf numFmtId="41" fontId="36" fillId="0" borderId="9" xfId="1" applyNumberFormat="1" applyFont="1" applyFill="1" applyBorder="1" applyAlignment="1" applyProtection="1">
      <alignment vertical="center"/>
    </xf>
    <xf numFmtId="41" fontId="34" fillId="0" borderId="6" xfId="1" applyNumberFormat="1" applyFont="1" applyBorder="1" applyAlignment="1">
      <alignment vertical="center"/>
    </xf>
    <xf numFmtId="41" fontId="4" fillId="0" borderId="14" xfId="0" applyNumberFormat="1" applyFont="1" applyBorder="1" applyAlignment="1">
      <alignment horizontal="right" vertical="center"/>
    </xf>
    <xf numFmtId="41" fontId="36" fillId="0" borderId="14" xfId="1" applyNumberFormat="1" applyFont="1" applyFill="1" applyBorder="1" applyAlignment="1" applyProtection="1">
      <alignment vertical="center"/>
    </xf>
    <xf numFmtId="41" fontId="34" fillId="0" borderId="14" xfId="1" applyNumberFormat="1" applyFont="1" applyBorder="1" applyAlignment="1">
      <alignment vertical="center"/>
    </xf>
    <xf numFmtId="41" fontId="34" fillId="0" borderId="14" xfId="0" applyNumberFormat="1" applyFont="1" applyBorder="1" applyAlignment="1">
      <alignment horizontal="right" vertical="center"/>
    </xf>
    <xf numFmtId="0" fontId="36" fillId="0" borderId="163" xfId="0" applyFont="1" applyBorder="1" applyAlignment="1">
      <alignment vertical="center" wrapText="1"/>
    </xf>
    <xf numFmtId="41" fontId="4" fillId="0" borderId="69" xfId="0" applyNumberFormat="1" applyFont="1" applyBorder="1" applyAlignment="1">
      <alignment horizontal="right" vertical="center"/>
    </xf>
    <xf numFmtId="41" fontId="36" fillId="0" borderId="69" xfId="1" applyNumberFormat="1" applyFont="1" applyFill="1" applyBorder="1" applyAlignment="1" applyProtection="1">
      <alignment vertical="center"/>
    </xf>
    <xf numFmtId="41" fontId="4" fillId="0" borderId="14" xfId="1" applyNumberFormat="1" applyFont="1" applyBorder="1" applyAlignment="1">
      <alignment horizontal="right" vertical="center"/>
    </xf>
    <xf numFmtId="41" fontId="36" fillId="0" borderId="14" xfId="0" applyNumberFormat="1" applyFont="1" applyBorder="1" applyAlignment="1">
      <alignment vertical="center"/>
    </xf>
    <xf numFmtId="41" fontId="4" fillId="0" borderId="17" xfId="1" applyNumberFormat="1" applyFont="1" applyBorder="1" applyAlignment="1">
      <alignment horizontal="right" vertical="center"/>
    </xf>
    <xf numFmtId="41" fontId="4" fillId="0" borderId="0" xfId="0" applyNumberFormat="1" applyFont="1"/>
    <xf numFmtId="0" fontId="35" fillId="0" borderId="20" xfId="0" applyFont="1" applyBorder="1" applyAlignment="1">
      <alignment vertical="center" wrapText="1" shrinkToFit="1"/>
    </xf>
    <xf numFmtId="41" fontId="36" fillId="0" borderId="17" xfId="0" applyNumberFormat="1" applyFont="1" applyBorder="1" applyAlignment="1">
      <alignment vertical="center"/>
    </xf>
    <xf numFmtId="0" fontId="7" fillId="0" borderId="0" xfId="0" applyFont="1" applyAlignment="1">
      <alignment horizontal="left" vertical="top" indent="2"/>
    </xf>
    <xf numFmtId="41" fontId="34" fillId="0" borderId="69" xfId="1" applyNumberFormat="1" applyFont="1" applyBorder="1" applyAlignment="1">
      <alignment vertical="center"/>
    </xf>
    <xf numFmtId="41" fontId="34" fillId="0" borderId="17" xfId="1" applyNumberFormat="1" applyFont="1" applyBorder="1" applyAlignment="1">
      <alignment vertical="center"/>
    </xf>
    <xf numFmtId="41" fontId="34" fillId="0" borderId="68" xfId="0" applyNumberFormat="1" applyFont="1" applyBorder="1" applyAlignment="1">
      <alignment vertical="center"/>
    </xf>
    <xf numFmtId="14" fontId="0" fillId="2" borderId="11" xfId="0" applyNumberFormat="1" applyFill="1" applyBorder="1" applyAlignment="1" applyProtection="1">
      <alignment horizontal="center"/>
      <protection locked="0"/>
    </xf>
    <xf numFmtId="0" fontId="9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164" xfId="0" applyFont="1" applyBorder="1" applyAlignment="1">
      <alignment horizontal="distributed" vertical="center" justifyLastLine="1"/>
    </xf>
    <xf numFmtId="0" fontId="0" fillId="0" borderId="165" xfId="0" applyBorder="1" applyAlignment="1">
      <alignment horizontal="distributed" vertical="center" justifyLastLine="1"/>
    </xf>
    <xf numFmtId="0" fontId="0" fillId="0" borderId="169" xfId="0" applyBorder="1" applyAlignment="1">
      <alignment horizontal="distributed" vertical="center" justifyLastLine="1"/>
    </xf>
    <xf numFmtId="0" fontId="4" fillId="2" borderId="0" xfId="0" applyFont="1" applyFill="1" applyAlignment="1" applyProtection="1">
      <alignment horizontal="center" vertical="center"/>
      <protection locked="0"/>
    </xf>
    <xf numFmtId="0" fontId="20" fillId="4" borderId="184" xfId="0" applyFont="1" applyFill="1" applyBorder="1" applyAlignment="1">
      <alignment horizontal="center" vertical="center"/>
    </xf>
    <xf numFmtId="0" fontId="20" fillId="4" borderId="185" xfId="0" applyFont="1" applyFill="1" applyBorder="1" applyAlignment="1">
      <alignment horizontal="center" vertical="center"/>
    </xf>
    <xf numFmtId="0" fontId="7" fillId="0" borderId="141" xfId="0" applyFont="1" applyBorder="1" applyAlignment="1">
      <alignment horizontal="right" vertical="center"/>
    </xf>
    <xf numFmtId="0" fontId="20" fillId="4" borderId="160" xfId="0" applyFont="1" applyFill="1" applyBorder="1" applyAlignment="1">
      <alignment horizontal="center" vertical="center"/>
    </xf>
    <xf numFmtId="0" fontId="20" fillId="4" borderId="167" xfId="0" applyFont="1" applyFill="1" applyBorder="1" applyAlignment="1">
      <alignment horizontal="center" vertical="center"/>
    </xf>
    <xf numFmtId="0" fontId="19" fillId="4" borderId="183" xfId="0" applyFont="1" applyFill="1" applyBorder="1" applyAlignment="1">
      <alignment horizontal="center" vertical="center"/>
    </xf>
    <xf numFmtId="0" fontId="20" fillId="4" borderId="174" xfId="0" applyFont="1" applyFill="1" applyBorder="1" applyAlignment="1">
      <alignment horizontal="center" vertical="center"/>
    </xf>
    <xf numFmtId="0" fontId="20" fillId="4" borderId="140" xfId="0" applyFont="1" applyFill="1" applyBorder="1" applyAlignment="1">
      <alignment horizontal="center" vertical="center"/>
    </xf>
    <xf numFmtId="0" fontId="20" fillId="4" borderId="141" xfId="0" applyFont="1" applyFill="1" applyBorder="1" applyAlignment="1">
      <alignment horizontal="center" vertical="center"/>
    </xf>
    <xf numFmtId="0" fontId="20" fillId="4" borderId="159" xfId="0" applyFont="1" applyFill="1" applyBorder="1" applyAlignment="1">
      <alignment horizontal="center" vertical="center"/>
    </xf>
    <xf numFmtId="0" fontId="20" fillId="4" borderId="82" xfId="0" applyFont="1" applyFill="1" applyBorder="1" applyAlignment="1">
      <alignment horizontal="center" vertical="center"/>
    </xf>
    <xf numFmtId="0" fontId="20" fillId="4" borderId="84" xfId="0" applyFont="1" applyFill="1" applyBorder="1" applyAlignment="1">
      <alignment horizontal="center" vertical="center"/>
    </xf>
    <xf numFmtId="0" fontId="20" fillId="4" borderId="173" xfId="0" applyFont="1" applyFill="1" applyBorder="1" applyAlignment="1">
      <alignment horizontal="center" vertical="center"/>
    </xf>
    <xf numFmtId="0" fontId="0" fillId="0" borderId="176" xfId="0" applyBorder="1" applyAlignment="1">
      <alignment horizontal="center" vertical="center" textRotation="255"/>
    </xf>
    <xf numFmtId="0" fontId="0" fillId="0" borderId="133" xfId="0" applyBorder="1" applyAlignment="1">
      <alignment horizontal="center" vertical="center" textRotation="255"/>
    </xf>
    <xf numFmtId="0" fontId="0" fillId="0" borderId="126" xfId="0" applyBorder="1" applyAlignment="1">
      <alignment horizontal="center" vertical="center" textRotation="255"/>
    </xf>
    <xf numFmtId="0" fontId="20" fillId="4" borderId="186" xfId="0" applyFont="1" applyFill="1" applyBorder="1" applyAlignment="1">
      <alignment horizontal="center" vertical="center"/>
    </xf>
    <xf numFmtId="0" fontId="20" fillId="4" borderId="187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84" xfId="0" applyFont="1" applyBorder="1" applyAlignment="1">
      <alignment vertical="center"/>
    </xf>
    <xf numFmtId="179" fontId="9" fillId="0" borderId="164" xfId="0" applyNumberFormat="1" applyFont="1" applyBorder="1" applyAlignment="1">
      <alignment vertical="center"/>
    </xf>
    <xf numFmtId="179" fontId="9" fillId="0" borderId="169" xfId="0" applyNumberFormat="1" applyFont="1" applyBorder="1" applyAlignment="1">
      <alignment vertical="center"/>
    </xf>
    <xf numFmtId="179" fontId="0" fillId="0" borderId="157" xfId="1" applyNumberFormat="1" applyFont="1" applyFill="1" applyBorder="1" applyAlignment="1" applyProtection="1">
      <alignment vertical="center"/>
    </xf>
    <xf numFmtId="179" fontId="0" fillId="0" borderId="39" xfId="1" applyNumberFormat="1" applyFont="1" applyFill="1" applyBorder="1" applyAlignment="1" applyProtection="1">
      <alignment vertical="center"/>
    </xf>
    <xf numFmtId="179" fontId="0" fillId="0" borderId="49" xfId="1" applyNumberFormat="1" applyFont="1" applyFill="1" applyBorder="1" applyAlignment="1" applyProtection="1">
      <alignment vertical="center"/>
    </xf>
    <xf numFmtId="179" fontId="0" fillId="0" borderId="33" xfId="1" applyNumberFormat="1" applyFont="1" applyFill="1" applyBorder="1" applyAlignment="1" applyProtection="1">
      <alignment vertical="center"/>
    </xf>
    <xf numFmtId="179" fontId="0" fillId="0" borderId="253" xfId="1" applyNumberFormat="1" applyFont="1" applyFill="1" applyBorder="1" applyAlignment="1" applyProtection="1">
      <alignment vertical="center"/>
    </xf>
    <xf numFmtId="179" fontId="0" fillId="0" borderId="250" xfId="1" applyNumberFormat="1" applyFont="1" applyFill="1" applyBorder="1" applyAlignment="1" applyProtection="1">
      <alignment vertical="center"/>
    </xf>
    <xf numFmtId="179" fontId="0" fillId="0" borderId="248" xfId="1" applyNumberFormat="1" applyFont="1" applyFill="1" applyBorder="1" applyAlignment="1" applyProtection="1">
      <alignment vertical="center"/>
    </xf>
    <xf numFmtId="179" fontId="0" fillId="0" borderId="245" xfId="1" applyNumberFormat="1" applyFont="1" applyFill="1" applyBorder="1" applyAlignment="1" applyProtection="1">
      <alignment vertical="center"/>
    </xf>
    <xf numFmtId="0" fontId="0" fillId="0" borderId="166" xfId="0" applyBorder="1" applyAlignment="1">
      <alignment horizontal="center" vertical="center" textRotation="255" wrapText="1"/>
    </xf>
    <xf numFmtId="0" fontId="0" fillId="0" borderId="182" xfId="0" applyBorder="1" applyAlignment="1">
      <alignment horizontal="center" vertical="center" textRotation="255" wrapText="1"/>
    </xf>
    <xf numFmtId="0" fontId="20" fillId="4" borderId="164" xfId="0" applyFont="1" applyFill="1" applyBorder="1" applyAlignment="1">
      <alignment horizontal="distributed" vertical="center" justifyLastLine="1"/>
    </xf>
    <xf numFmtId="0" fontId="20" fillId="4" borderId="165" xfId="0" applyFont="1" applyFill="1" applyBorder="1" applyAlignment="1">
      <alignment horizontal="distributed" vertical="center" justifyLastLine="1"/>
    </xf>
    <xf numFmtId="0" fontId="20" fillId="4" borderId="169" xfId="0" applyFont="1" applyFill="1" applyBorder="1" applyAlignment="1">
      <alignment horizontal="distributed" vertical="center" justifyLastLine="1"/>
    </xf>
    <xf numFmtId="0" fontId="0" fillId="0" borderId="166" xfId="0" applyBorder="1" applyAlignment="1">
      <alignment vertical="center" textRotation="255"/>
    </xf>
    <xf numFmtId="0" fontId="0" fillId="0" borderId="182" xfId="0" applyBorder="1" applyAlignment="1">
      <alignment vertical="center" textRotation="255"/>
    </xf>
    <xf numFmtId="0" fontId="0" fillId="0" borderId="188" xfId="0" applyBorder="1" applyAlignment="1">
      <alignment vertical="center" textRotation="255"/>
    </xf>
    <xf numFmtId="0" fontId="0" fillId="0" borderId="182" xfId="0" applyBorder="1" applyAlignment="1">
      <alignment vertical="center"/>
    </xf>
    <xf numFmtId="179" fontId="9" fillId="5" borderId="103" xfId="1" applyNumberFormat="1" applyFont="1" applyFill="1" applyBorder="1" applyAlignment="1" applyProtection="1">
      <alignment vertical="center"/>
    </xf>
    <xf numFmtId="179" fontId="9" fillId="5" borderId="170" xfId="1" applyNumberFormat="1" applyFont="1" applyFill="1" applyBorder="1" applyAlignment="1" applyProtection="1">
      <alignment vertical="center"/>
    </xf>
    <xf numFmtId="179" fontId="0" fillId="5" borderId="249" xfId="1" applyNumberFormat="1" applyFont="1" applyFill="1" applyBorder="1" applyAlignment="1" applyProtection="1">
      <alignment vertical="center"/>
    </xf>
    <xf numFmtId="179" fontId="0" fillId="5" borderId="247" xfId="1" applyNumberFormat="1" applyFont="1" applyFill="1" applyBorder="1" applyAlignment="1" applyProtection="1">
      <alignment vertical="center"/>
    </xf>
    <xf numFmtId="179" fontId="0" fillId="5" borderId="254" xfId="1" applyNumberFormat="1" applyFont="1" applyFill="1" applyBorder="1" applyAlignment="1" applyProtection="1">
      <alignment vertical="center"/>
    </xf>
    <xf numFmtId="179" fontId="0" fillId="5" borderId="252" xfId="1" applyNumberFormat="1" applyFont="1" applyFill="1" applyBorder="1" applyAlignment="1" applyProtection="1">
      <alignment vertical="center"/>
    </xf>
    <xf numFmtId="179" fontId="0" fillId="0" borderId="196" xfId="1" applyNumberFormat="1" applyFont="1" applyFill="1" applyBorder="1" applyAlignment="1" applyProtection="1">
      <alignment horizontal="right" vertical="center"/>
    </xf>
    <xf numFmtId="179" fontId="0" fillId="0" borderId="162" xfId="1" applyNumberFormat="1" applyFont="1" applyFill="1" applyBorder="1" applyAlignment="1" applyProtection="1">
      <alignment horizontal="right" vertical="center"/>
    </xf>
    <xf numFmtId="179" fontId="0" fillId="0" borderId="15" xfId="0" applyNumberFormat="1" applyBorder="1" applyAlignment="1">
      <alignment vertical="center"/>
    </xf>
    <xf numFmtId="179" fontId="0" fillId="0" borderId="19" xfId="0" applyNumberFormat="1" applyBorder="1" applyAlignment="1">
      <alignment vertical="center"/>
    </xf>
    <xf numFmtId="179" fontId="0" fillId="5" borderId="31" xfId="1" applyNumberFormat="1" applyFont="1" applyFill="1" applyBorder="1" applyAlignment="1" applyProtection="1">
      <alignment vertical="center"/>
    </xf>
    <xf numFmtId="179" fontId="0" fillId="5" borderId="19" xfId="1" applyNumberFormat="1" applyFont="1" applyFill="1" applyBorder="1" applyAlignment="1" applyProtection="1">
      <alignment vertical="center"/>
    </xf>
    <xf numFmtId="179" fontId="0" fillId="5" borderId="37" xfId="1" applyNumberFormat="1" applyFont="1" applyFill="1" applyBorder="1" applyAlignment="1" applyProtection="1">
      <alignment vertical="center"/>
    </xf>
    <xf numFmtId="179" fontId="0" fillId="5" borderId="68" xfId="1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179" fontId="0" fillId="0" borderId="161" xfId="1" applyNumberFormat="1" applyFont="1" applyFill="1" applyBorder="1" applyAlignment="1" applyProtection="1">
      <alignment horizontal="right" vertical="center"/>
    </xf>
    <xf numFmtId="179" fontId="0" fillId="0" borderId="197" xfId="1" applyNumberFormat="1" applyFont="1" applyFill="1" applyBorder="1" applyAlignment="1" applyProtection="1">
      <alignment horizontal="right" vertical="center"/>
    </xf>
    <xf numFmtId="179" fontId="0" fillId="0" borderId="49" xfId="0" applyNumberFormat="1" applyBorder="1" applyAlignment="1">
      <alignment vertical="center"/>
    </xf>
    <xf numFmtId="0" fontId="4" fillId="0" borderId="0" xfId="0" applyFont="1" applyAlignment="1">
      <alignment horizontal="center" vertical="center"/>
    </xf>
    <xf numFmtId="183" fontId="4" fillId="0" borderId="0" xfId="0" applyNumberFormat="1" applyFont="1" applyAlignment="1">
      <alignment horizontal="left" vertical="center"/>
    </xf>
    <xf numFmtId="179" fontId="4" fillId="2" borderId="0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179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14" fontId="0" fillId="0" borderId="11" xfId="0" applyNumberFormat="1" applyBorder="1" applyAlignment="1">
      <alignment horizontal="center"/>
    </xf>
    <xf numFmtId="0" fontId="4" fillId="0" borderId="188" xfId="0" applyFont="1" applyBorder="1" applyAlignment="1">
      <alignment horizontal="center" vertical="center" textRotation="255" wrapText="1"/>
    </xf>
    <xf numFmtId="0" fontId="4" fillId="0" borderId="166" xfId="0" applyFont="1" applyBorder="1" applyAlignment="1">
      <alignment horizontal="center" vertical="center" textRotation="255" wrapText="1"/>
    </xf>
    <xf numFmtId="0" fontId="4" fillId="0" borderId="182" xfId="0" applyFont="1" applyBorder="1" applyAlignment="1">
      <alignment horizontal="center" vertical="center" textRotation="255" wrapText="1"/>
    </xf>
    <xf numFmtId="0" fontId="4" fillId="14" borderId="37" xfId="0" applyFont="1" applyFill="1" applyBorder="1" applyAlignment="1">
      <alignment horizontal="center" vertical="center"/>
    </xf>
    <xf numFmtId="0" fontId="4" fillId="14" borderId="20" xfId="0" applyFont="1" applyFill="1" applyBorder="1" applyAlignment="1">
      <alignment horizontal="center" vertical="center"/>
    </xf>
    <xf numFmtId="0" fontId="4" fillId="0" borderId="14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96" xfId="0" applyFont="1" applyBorder="1" applyAlignment="1">
      <alignment horizontal="center" vertical="center"/>
    </xf>
    <xf numFmtId="0" fontId="5" fillId="0" borderId="16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0" fillId="4" borderId="164" xfId="0" applyFont="1" applyFill="1" applyBorder="1" applyAlignment="1">
      <alignment horizontal="distributed" vertical="center" justifyLastLine="1"/>
    </xf>
    <xf numFmtId="0" fontId="10" fillId="4" borderId="165" xfId="0" applyFont="1" applyFill="1" applyBorder="1" applyAlignment="1">
      <alignment horizontal="distributed" vertical="center" justifyLastLine="1"/>
    </xf>
    <xf numFmtId="0" fontId="14" fillId="0" borderId="0" xfId="0" applyFont="1" applyAlignment="1">
      <alignment horizontal="center" vertical="top"/>
    </xf>
    <xf numFmtId="0" fontId="5" fillId="0" borderId="197" xfId="0" applyFont="1" applyBorder="1" applyAlignment="1">
      <alignment horizontal="center" vertical="center"/>
    </xf>
    <xf numFmtId="0" fontId="5" fillId="0" borderId="161" xfId="0" applyFont="1" applyBorder="1" applyAlignment="1">
      <alignment horizontal="center" vertical="center"/>
    </xf>
    <xf numFmtId="0" fontId="4" fillId="0" borderId="164" xfId="0" applyFont="1" applyBorder="1" applyAlignment="1">
      <alignment horizontal="center" vertical="center"/>
    </xf>
    <xf numFmtId="0" fontId="4" fillId="0" borderId="165" xfId="0" applyFont="1" applyBorder="1" applyAlignment="1">
      <alignment horizontal="center" vertical="center"/>
    </xf>
    <xf numFmtId="0" fontId="4" fillId="0" borderId="170" xfId="0" applyFont="1" applyBorder="1" applyAlignment="1">
      <alignment horizontal="center" vertical="center"/>
    </xf>
    <xf numFmtId="0" fontId="4" fillId="0" borderId="198" xfId="0" applyFont="1" applyBorder="1" applyAlignment="1">
      <alignment vertical="center" shrinkToFit="1"/>
    </xf>
    <xf numFmtId="0" fontId="0" fillId="0" borderId="199" xfId="0" applyBorder="1" applyAlignment="1">
      <alignment vertical="center" shrinkToFit="1"/>
    </xf>
    <xf numFmtId="0" fontId="0" fillId="0" borderId="200" xfId="0" applyBorder="1" applyAlignment="1">
      <alignment vertical="center" shrinkToFit="1"/>
    </xf>
    <xf numFmtId="14" fontId="4" fillId="0" borderId="0" xfId="0" applyNumberFormat="1" applyFont="1" applyAlignment="1">
      <alignment horizontal="center"/>
    </xf>
    <xf numFmtId="0" fontId="7" fillId="0" borderId="188" xfId="0" applyFont="1" applyBorder="1" applyAlignment="1">
      <alignment horizontal="center" vertical="center" textRotation="255" wrapText="1"/>
    </xf>
    <xf numFmtId="0" fontId="7" fillId="0" borderId="166" xfId="0" applyFont="1" applyBorder="1" applyAlignment="1">
      <alignment horizontal="center" vertical="center" textRotation="255" wrapText="1"/>
    </xf>
    <xf numFmtId="0" fontId="14" fillId="0" borderId="219" xfId="0" applyFont="1" applyBorder="1" applyAlignment="1">
      <alignment horizontal="center" vertical="center" textRotation="255"/>
    </xf>
    <xf numFmtId="0" fontId="14" fillId="0" borderId="114" xfId="0" applyFont="1" applyBorder="1" applyAlignment="1">
      <alignment horizontal="center" vertical="center" textRotation="255"/>
    </xf>
    <xf numFmtId="0" fontId="14" fillId="0" borderId="208" xfId="0" applyFont="1" applyBorder="1" applyAlignment="1">
      <alignment horizontal="center" vertical="center" textRotation="255"/>
    </xf>
    <xf numFmtId="0" fontId="4" fillId="0" borderId="219" xfId="0" applyFont="1" applyBorder="1" applyAlignment="1">
      <alignment horizontal="center" vertical="center"/>
    </xf>
    <xf numFmtId="0" fontId="4" fillId="0" borderId="208" xfId="0" applyFont="1" applyBorder="1" applyAlignment="1">
      <alignment horizontal="center" vertical="center"/>
    </xf>
    <xf numFmtId="0" fontId="4" fillId="14" borderId="45" xfId="0" applyFont="1" applyFill="1" applyBorder="1" applyAlignment="1">
      <alignment horizontal="center" vertical="center"/>
    </xf>
    <xf numFmtId="0" fontId="4" fillId="14" borderId="163" xfId="0" applyFont="1" applyFill="1" applyBorder="1" applyAlignment="1">
      <alignment horizontal="center" vertical="center"/>
    </xf>
    <xf numFmtId="0" fontId="4" fillId="14" borderId="46" xfId="0" applyFont="1" applyFill="1" applyBorder="1" applyAlignment="1">
      <alignment horizontal="center" vertical="center"/>
    </xf>
    <xf numFmtId="0" fontId="0" fillId="0" borderId="188" xfId="0" applyBorder="1" applyAlignment="1">
      <alignment horizontal="center" vertical="center" textRotation="255"/>
    </xf>
    <xf numFmtId="0" fontId="0" fillId="0" borderId="166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 textRotation="255"/>
    </xf>
    <xf numFmtId="0" fontId="4" fillId="14" borderId="136" xfId="0" applyFont="1" applyFill="1" applyBorder="1" applyAlignment="1">
      <alignment horizontal="center" vertical="center"/>
    </xf>
    <xf numFmtId="0" fontId="4" fillId="14" borderId="135" xfId="0" applyFont="1" applyFill="1" applyBorder="1" applyAlignment="1">
      <alignment horizontal="center" vertical="center"/>
    </xf>
    <xf numFmtId="0" fontId="4" fillId="14" borderId="137" xfId="0" applyFont="1" applyFill="1" applyBorder="1" applyAlignment="1">
      <alignment horizontal="center" vertical="center"/>
    </xf>
    <xf numFmtId="0" fontId="4" fillId="14" borderId="202" xfId="0" applyFont="1" applyFill="1" applyBorder="1" applyAlignment="1">
      <alignment horizontal="center" vertical="center"/>
    </xf>
    <xf numFmtId="0" fontId="4" fillId="14" borderId="203" xfId="0" applyFont="1" applyFill="1" applyBorder="1" applyAlignment="1">
      <alignment horizontal="center" vertical="center"/>
    </xf>
    <xf numFmtId="0" fontId="4" fillId="14" borderId="204" xfId="0" applyFont="1" applyFill="1" applyBorder="1" applyAlignment="1">
      <alignment horizontal="center" vertical="center"/>
    </xf>
    <xf numFmtId="179" fontId="4" fillId="14" borderId="220" xfId="1" applyNumberFormat="1" applyFont="1" applyFill="1" applyBorder="1" applyAlignment="1" applyProtection="1">
      <alignment vertical="center"/>
    </xf>
    <xf numFmtId="179" fontId="4" fillId="14" borderId="221" xfId="1" applyNumberFormat="1" applyFont="1" applyFill="1" applyBorder="1" applyAlignment="1" applyProtection="1">
      <alignment vertical="center"/>
    </xf>
    <xf numFmtId="179" fontId="4" fillId="14" borderId="222" xfId="1" applyNumberFormat="1" applyFont="1" applyFill="1" applyBorder="1" applyAlignment="1" applyProtection="1">
      <alignment vertical="center"/>
    </xf>
    <xf numFmtId="0" fontId="8" fillId="0" borderId="193" xfId="0" applyFont="1" applyBorder="1" applyAlignment="1">
      <alignment horizontal="center" vertical="center"/>
    </xf>
    <xf numFmtId="0" fontId="8" fillId="0" borderId="194" xfId="0" applyFont="1" applyBorder="1" applyAlignment="1">
      <alignment horizontal="center" vertical="center"/>
    </xf>
    <xf numFmtId="0" fontId="8" fillId="0" borderId="195" xfId="0" applyFont="1" applyBorder="1" applyAlignment="1">
      <alignment horizontal="center" vertical="center"/>
    </xf>
    <xf numFmtId="179" fontId="8" fillId="0" borderId="201" xfId="1" applyNumberFormat="1" applyFont="1" applyFill="1" applyBorder="1" applyAlignment="1" applyProtection="1">
      <alignment horizontal="right" vertical="center"/>
    </xf>
    <xf numFmtId="179" fontId="8" fillId="0" borderId="191" xfId="1" applyNumberFormat="1" applyFont="1" applyFill="1" applyBorder="1" applyAlignment="1" applyProtection="1">
      <alignment horizontal="right" vertical="center"/>
    </xf>
    <xf numFmtId="179" fontId="8" fillId="0" borderId="190" xfId="1" applyNumberFormat="1" applyFont="1" applyFill="1" applyBorder="1" applyAlignment="1" applyProtection="1">
      <alignment horizontal="right" vertical="center"/>
    </xf>
    <xf numFmtId="179" fontId="8" fillId="0" borderId="192" xfId="1" applyNumberFormat="1" applyFont="1" applyFill="1" applyBorder="1" applyAlignment="1" applyProtection="1">
      <alignment horizontal="right" vertical="center"/>
    </xf>
    <xf numFmtId="0" fontId="4" fillId="0" borderId="118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4" fillId="0" borderId="263" xfId="0" applyFont="1" applyBorder="1" applyAlignment="1">
      <alignment vertical="center"/>
    </xf>
    <xf numFmtId="0" fontId="4" fillId="0" borderId="260" xfId="0" applyFont="1" applyBorder="1" applyAlignment="1">
      <alignment vertical="center" shrinkToFit="1"/>
    </xf>
    <xf numFmtId="0" fontId="0" fillId="0" borderId="145" xfId="0" applyBorder="1" applyAlignment="1">
      <alignment vertical="center" shrinkToFit="1"/>
    </xf>
    <xf numFmtId="0" fontId="0" fillId="0" borderId="146" xfId="0" applyBorder="1" applyAlignment="1">
      <alignment vertical="center" shrinkToFit="1"/>
    </xf>
    <xf numFmtId="41" fontId="4" fillId="0" borderId="223" xfId="0" applyNumberFormat="1" applyFont="1" applyBorder="1" applyAlignment="1">
      <alignment horizontal="center" vertical="center"/>
    </xf>
    <xf numFmtId="0" fontId="4" fillId="0" borderId="140" xfId="0" applyFont="1" applyBorder="1" applyAlignment="1">
      <alignment vertical="center"/>
    </xf>
    <xf numFmtId="0" fontId="4" fillId="0" borderId="159" xfId="0" applyFont="1" applyBorder="1" applyAlignment="1">
      <alignment vertical="center"/>
    </xf>
    <xf numFmtId="185" fontId="4" fillId="0" borderId="114" xfId="0" applyNumberFormat="1" applyFont="1" applyBorder="1" applyAlignment="1">
      <alignment horizontal="center" vertical="center"/>
    </xf>
    <xf numFmtId="185" fontId="0" fillId="0" borderId="114" xfId="0" applyNumberFormat="1" applyBorder="1" applyAlignment="1">
      <alignment horizontal="center" vertical="center"/>
    </xf>
    <xf numFmtId="185" fontId="0" fillId="0" borderId="175" xfId="0" applyNumberFormat="1" applyBorder="1" applyAlignment="1">
      <alignment horizontal="center" vertical="center"/>
    </xf>
    <xf numFmtId="0" fontId="10" fillId="11" borderId="183" xfId="0" applyFont="1" applyFill="1" applyBorder="1" applyAlignment="1">
      <alignment horizontal="center" vertical="center" wrapText="1"/>
    </xf>
    <xf numFmtId="0" fontId="10" fillId="11" borderId="114" xfId="0" applyFont="1" applyFill="1" applyBorder="1" applyAlignment="1">
      <alignment horizontal="center" vertical="center" wrapText="1"/>
    </xf>
    <xf numFmtId="0" fontId="10" fillId="11" borderId="212" xfId="0" applyFont="1" applyFill="1" applyBorder="1" applyAlignment="1">
      <alignment horizontal="center" vertical="center" wrapText="1"/>
    </xf>
    <xf numFmtId="0" fontId="10" fillId="11" borderId="160" xfId="0" applyFont="1" applyFill="1" applyBorder="1" applyAlignment="1">
      <alignment horizontal="center" vertical="center" wrapText="1"/>
    </xf>
    <xf numFmtId="0" fontId="10" fillId="11" borderId="175" xfId="0" applyFont="1" applyFill="1" applyBorder="1" applyAlignment="1">
      <alignment horizontal="center" vertical="center" wrapText="1"/>
    </xf>
    <xf numFmtId="0" fontId="10" fillId="11" borderId="73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/>
    </xf>
    <xf numFmtId="0" fontId="10" fillId="11" borderId="155" xfId="0" applyFont="1" applyFill="1" applyBorder="1" applyAlignment="1">
      <alignment horizontal="center" vertical="center"/>
    </xf>
    <xf numFmtId="0" fontId="0" fillId="11" borderId="155" xfId="0" applyFill="1" applyBorder="1" applyAlignment="1">
      <alignment horizontal="center" vertical="center"/>
    </xf>
    <xf numFmtId="0" fontId="10" fillId="11" borderId="161" xfId="0" applyFont="1" applyFill="1" applyBorder="1" applyAlignment="1">
      <alignment horizontal="center" vertical="center"/>
    </xf>
    <xf numFmtId="0" fontId="0" fillId="11" borderId="162" xfId="0" applyFill="1" applyBorder="1" applyAlignment="1">
      <alignment horizontal="center" vertical="center"/>
    </xf>
    <xf numFmtId="0" fontId="4" fillId="0" borderId="15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0" fillId="11" borderId="143" xfId="0" applyFont="1" applyFill="1" applyBorder="1" applyAlignment="1">
      <alignment horizontal="center" vertical="center"/>
    </xf>
    <xf numFmtId="0" fontId="10" fillId="11" borderId="125" xfId="0" applyFont="1" applyFill="1" applyBorder="1" applyAlignment="1">
      <alignment horizontal="center" vertical="center"/>
    </xf>
    <xf numFmtId="0" fontId="21" fillId="11" borderId="183" xfId="0" applyFont="1" applyFill="1" applyBorder="1" applyAlignment="1">
      <alignment horizontal="center" vertical="center" wrapText="1"/>
    </xf>
    <xf numFmtId="0" fontId="21" fillId="11" borderId="114" xfId="0" applyFont="1" applyFill="1" applyBorder="1" applyAlignment="1">
      <alignment horizontal="center" vertical="center" wrapText="1"/>
    </xf>
    <xf numFmtId="0" fontId="21" fillId="11" borderId="212" xfId="0" applyFont="1" applyFill="1" applyBorder="1" applyAlignment="1">
      <alignment horizontal="center" vertical="center" wrapText="1"/>
    </xf>
    <xf numFmtId="0" fontId="4" fillId="11" borderId="188" xfId="0" applyFont="1" applyFill="1" applyBorder="1" applyAlignment="1">
      <alignment vertical="center"/>
    </xf>
    <xf numFmtId="0" fontId="4" fillId="11" borderId="166" xfId="0" applyFont="1" applyFill="1" applyBorder="1" applyAlignment="1">
      <alignment vertical="center"/>
    </xf>
    <xf numFmtId="0" fontId="4" fillId="11" borderId="72" xfId="0" applyFont="1" applyFill="1" applyBorder="1" applyAlignment="1">
      <alignment vertical="center"/>
    </xf>
    <xf numFmtId="0" fontId="21" fillId="11" borderId="160" xfId="0" applyFont="1" applyFill="1" applyBorder="1" applyAlignment="1">
      <alignment horizontal="center" vertical="center" wrapText="1"/>
    </xf>
    <xf numFmtId="0" fontId="21" fillId="11" borderId="73" xfId="0" applyFont="1" applyFill="1" applyBorder="1" applyAlignment="1">
      <alignment horizontal="center" vertical="center" wrapText="1"/>
    </xf>
    <xf numFmtId="0" fontId="10" fillId="11" borderId="159" xfId="0" applyFont="1" applyFill="1" applyBorder="1" applyAlignment="1">
      <alignment horizontal="center" vertical="center"/>
    </xf>
    <xf numFmtId="0" fontId="10" fillId="11" borderId="257" xfId="0" applyFont="1" applyFill="1" applyBorder="1" applyAlignment="1">
      <alignment horizontal="center" vertical="center"/>
    </xf>
    <xf numFmtId="0" fontId="10" fillId="11" borderId="183" xfId="0" applyFont="1" applyFill="1" applyBorder="1" applyAlignment="1">
      <alignment horizontal="center" vertical="center"/>
    </xf>
    <xf numFmtId="0" fontId="10" fillId="11" borderId="212" xfId="0" applyFont="1" applyFill="1" applyBorder="1" applyAlignment="1">
      <alignment horizontal="center" vertical="center"/>
    </xf>
    <xf numFmtId="0" fontId="10" fillId="11" borderId="188" xfId="0" applyFont="1" applyFill="1" applyBorder="1" applyAlignment="1">
      <alignment horizontal="center" vertical="center"/>
    </xf>
    <xf numFmtId="0" fontId="10" fillId="11" borderId="72" xfId="0" applyFont="1" applyFill="1" applyBorder="1" applyAlignment="1">
      <alignment horizontal="center" vertical="center"/>
    </xf>
    <xf numFmtId="0" fontId="10" fillId="11" borderId="160" xfId="0" applyFont="1" applyFill="1" applyBorder="1" applyAlignment="1">
      <alignment horizontal="center" vertical="center"/>
    </xf>
    <xf numFmtId="0" fontId="10" fillId="11" borderId="7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【キャッシュフロー用】受入経費試算4-1" xfId="2" xr:uid="{00000000-0005-0000-0000-000002000000}"/>
  </cellStyles>
  <dxfs count="30"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ont>
        <color rgb="FFFFCC99"/>
      </font>
    </dxf>
    <dxf>
      <font>
        <color theme="0"/>
      </font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66FFFF"/>
      <color rgb="FF0343F7"/>
      <color rgb="FF666699"/>
      <color rgb="FF339966"/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7" dropStyle="combo" dx="15" fmlaLink="J13W計算シート!$B$46" fmlaRange="J13W計算シート!$C$49:$C$54" noThreeD="1" sel="1" val="0"/>
</file>

<file path=xl/ctrlProps/ctrlProp2.xml><?xml version="1.0" encoding="utf-8"?>
<formControlPr xmlns="http://schemas.microsoft.com/office/spreadsheetml/2009/9/main" objectType="Drop" dropLines="3" dropStyle="combo" dx="15" fmlaLink="J13W計算シート!$B$24" fmlaRange="J13W計算シート!$C$26:$C$28" noThreeD="1" sel="2" val="0"/>
</file>

<file path=xl/ctrlProps/ctrlProp3.xml><?xml version="1.0" encoding="utf-8"?>
<formControlPr xmlns="http://schemas.microsoft.com/office/spreadsheetml/2009/9/main" objectType="Drop" dropStyle="combo" dx="15" fmlaLink="J13W計算シート!$B$33" fmlaRange="J13W計算シート!$C$36:$H$43" noThreeD="1" sel="2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104775</xdr:rowOff>
    </xdr:from>
    <xdr:to>
      <xdr:col>14</xdr:col>
      <xdr:colOff>9524</xdr:colOff>
      <xdr:row>18</xdr:row>
      <xdr:rowOff>11907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525" y="831056"/>
          <a:ext cx="8929687" cy="3479007"/>
        </a:xfrm>
        <a:prstGeom prst="rect">
          <a:avLst/>
        </a:prstGeom>
        <a:noFill/>
        <a:ln w="19050" cap="sq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595313</xdr:colOff>
      <xdr:row>16</xdr:row>
      <xdr:rowOff>61913</xdr:rowOff>
    </xdr:from>
    <xdr:to>
      <xdr:col>13</xdr:col>
      <xdr:colOff>216694</xdr:colOff>
      <xdr:row>16</xdr:row>
      <xdr:rowOff>61913</xdr:rowOff>
    </xdr:to>
    <xdr:sp macro="" textlink="">
      <xdr:nvSpPr>
        <xdr:cNvPr id="30" name="Line 51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4929188" y="3883819"/>
          <a:ext cx="3479006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171450</xdr:colOff>
      <xdr:row>36</xdr:row>
      <xdr:rowOff>195262</xdr:rowOff>
    </xdr:from>
    <xdr:to>
      <xdr:col>14</xdr:col>
      <xdr:colOff>108450</xdr:colOff>
      <xdr:row>38</xdr:row>
      <xdr:rowOff>208162</xdr:rowOff>
    </xdr:to>
    <xdr:sp macro="" textlink="">
      <xdr:nvSpPr>
        <xdr:cNvPr id="38" name="AutoShape 6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7467600" y="8367712"/>
          <a:ext cx="1080000" cy="489150"/>
        </a:xfrm>
        <a:prstGeom prst="roundRect">
          <a:avLst>
            <a:gd name="adj" fmla="val 16667"/>
          </a:avLst>
        </a:prstGeom>
        <a:noFill/>
        <a:ln w="19050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57151</xdr:colOff>
      <xdr:row>38</xdr:row>
      <xdr:rowOff>190050</xdr:rowOff>
    </xdr:from>
    <xdr:to>
      <xdr:col>13</xdr:col>
      <xdr:colOff>178595</xdr:colOff>
      <xdr:row>43</xdr:row>
      <xdr:rowOff>114300</xdr:rowOff>
    </xdr:to>
    <xdr:sp macro="" textlink="">
      <xdr:nvSpPr>
        <xdr:cNvPr id="41" name="Freeform 20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/>
        </xdr:cNvSpPr>
      </xdr:nvSpPr>
      <xdr:spPr bwMode="auto">
        <a:xfrm>
          <a:off x="6210301" y="8838750"/>
          <a:ext cx="1835944" cy="1057725"/>
        </a:xfrm>
        <a:custGeom>
          <a:avLst/>
          <a:gdLst>
            <a:gd name="T0" fmla="*/ 2147483647 w 226"/>
            <a:gd name="T1" fmla="*/ 0 h 93"/>
            <a:gd name="T2" fmla="*/ 2147483647 w 226"/>
            <a:gd name="T3" fmla="*/ 2147483647 h 93"/>
            <a:gd name="T4" fmla="*/ 2147483647 w 226"/>
            <a:gd name="T5" fmla="*/ 2147483647 h 93"/>
            <a:gd name="T6" fmla="*/ 0 w 226"/>
            <a:gd name="T7" fmla="*/ 2147483647 h 9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26" h="93">
              <a:moveTo>
                <a:pt x="226" y="0"/>
              </a:moveTo>
              <a:lnTo>
                <a:pt x="226" y="80"/>
              </a:lnTo>
              <a:lnTo>
                <a:pt x="226" y="93"/>
              </a:lnTo>
              <a:lnTo>
                <a:pt x="0" y="93"/>
              </a:lnTo>
            </a:path>
          </a:pathLst>
        </a:custGeom>
        <a:noFill/>
        <a:ln w="38100" cap="flat" cmpd="sng">
          <a:solidFill>
            <a:srgbClr val="FF0000"/>
          </a:solidFill>
          <a:prstDash val="solid"/>
          <a:round/>
          <a:headEnd type="none" w="med" len="med"/>
          <a:tailEnd type="triangle" w="med" len="lg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196246</xdr:colOff>
      <xdr:row>45</xdr:row>
      <xdr:rowOff>0</xdr:rowOff>
    </xdr:from>
    <xdr:to>
      <xdr:col>23</xdr:col>
      <xdr:colOff>508396</xdr:colOff>
      <xdr:row>51</xdr:row>
      <xdr:rowOff>0</xdr:rowOff>
    </xdr:to>
    <xdr:sp macro="" textlink="">
      <xdr:nvSpPr>
        <xdr:cNvPr id="44" name="右矢印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 rot="10800000">
          <a:off x="14493271" y="10496550"/>
          <a:ext cx="2160000" cy="1428750"/>
        </a:xfrm>
        <a:prstGeom prst="rightArrow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196245</xdr:colOff>
      <xdr:row>33</xdr:row>
      <xdr:rowOff>0</xdr:rowOff>
    </xdr:from>
    <xdr:to>
      <xdr:col>23</xdr:col>
      <xdr:colOff>508395</xdr:colOff>
      <xdr:row>40</xdr:row>
      <xdr:rowOff>190275</xdr:rowOff>
    </xdr:to>
    <xdr:sp macro="" textlink="">
      <xdr:nvSpPr>
        <xdr:cNvPr id="34" name="右矢印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4493270" y="7696200"/>
          <a:ext cx="2160000" cy="1800000"/>
        </a:xfrm>
        <a:prstGeom prst="rightArrow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455082</xdr:colOff>
      <xdr:row>29</xdr:row>
      <xdr:rowOff>7499</xdr:rowOff>
    </xdr:from>
    <xdr:to>
      <xdr:col>15</xdr:col>
      <xdr:colOff>704849</xdr:colOff>
      <xdr:row>40</xdr:row>
      <xdr:rowOff>219074</xdr:rowOff>
    </xdr:to>
    <xdr:sp macro="" textlink="">
      <xdr:nvSpPr>
        <xdr:cNvPr id="45" name="左中かっこ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10218207" y="6751199"/>
          <a:ext cx="249767" cy="253567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45722</xdr:colOff>
      <xdr:row>45</xdr:row>
      <xdr:rowOff>209549</xdr:rowOff>
    </xdr:from>
    <xdr:to>
      <xdr:col>25</xdr:col>
      <xdr:colOff>261722</xdr:colOff>
      <xdr:row>52</xdr:row>
      <xdr:rowOff>2699</xdr:rowOff>
    </xdr:to>
    <xdr:sp macro="" textlink="">
      <xdr:nvSpPr>
        <xdr:cNvPr id="47" name="左中かっこ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 flipH="1">
          <a:off x="18409922" y="10229849"/>
          <a:ext cx="216000" cy="146002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455083</xdr:colOff>
      <xdr:row>41</xdr:row>
      <xdr:rowOff>43500</xdr:rowOff>
    </xdr:from>
    <xdr:to>
      <xdr:col>15</xdr:col>
      <xdr:colOff>691302</xdr:colOff>
      <xdr:row>51</xdr:row>
      <xdr:rowOff>0</xdr:rowOff>
    </xdr:to>
    <xdr:sp macro="" textlink="">
      <xdr:nvSpPr>
        <xdr:cNvPr id="49" name="左中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0399183" y="9111300"/>
          <a:ext cx="236219" cy="2337750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12</xdr:row>
          <xdr:rowOff>47625</xdr:rowOff>
        </xdr:from>
        <xdr:to>
          <xdr:col>8</xdr:col>
          <xdr:colOff>266700</xdr:colOff>
          <xdr:row>13</xdr:row>
          <xdr:rowOff>76200</xdr:rowOff>
        </xdr:to>
        <xdr:sp macro="" textlink="">
          <xdr:nvSpPr>
            <xdr:cNvPr id="2573" name="Drop Down 525" hidden="1">
              <a:extLst>
                <a:ext uri="{63B3BB69-23CF-44E3-9099-C40C66FF867C}">
                  <a14:compatExt spid="_x0000_s2573"/>
                </a:ext>
                <a:ext uri="{FF2B5EF4-FFF2-40B4-BE49-F238E27FC236}">
                  <a16:creationId xmlns:a16="http://schemas.microsoft.com/office/drawing/2014/main" id="{00000000-0008-0000-0000-00000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</xdr:row>
          <xdr:rowOff>104775</xdr:rowOff>
        </xdr:from>
        <xdr:to>
          <xdr:col>11</xdr:col>
          <xdr:colOff>723900</xdr:colOff>
          <xdr:row>8</xdr:row>
          <xdr:rowOff>104775</xdr:rowOff>
        </xdr:to>
        <xdr:sp macro="" textlink="">
          <xdr:nvSpPr>
            <xdr:cNvPr id="2574" name="Drop Down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0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6</xdr:row>
          <xdr:rowOff>19050</xdr:rowOff>
        </xdr:from>
        <xdr:to>
          <xdr:col>11</xdr:col>
          <xdr:colOff>714375</xdr:colOff>
          <xdr:row>7</xdr:row>
          <xdr:rowOff>28575</xdr:rowOff>
        </xdr:to>
        <xdr:sp macro="" textlink="">
          <xdr:nvSpPr>
            <xdr:cNvPr id="2576" name="Drop Down 528" hidden="1">
              <a:extLst>
                <a:ext uri="{63B3BB69-23CF-44E3-9099-C40C66FF867C}">
                  <a14:compatExt spid="_x0000_s2576"/>
                </a:ext>
                <a:ext uri="{FF2B5EF4-FFF2-40B4-BE49-F238E27FC236}">
                  <a16:creationId xmlns:a16="http://schemas.microsoft.com/office/drawing/2014/main" id="{00000000-0008-0000-0000-00001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25</xdr:col>
      <xdr:colOff>228880</xdr:colOff>
      <xdr:row>46</xdr:row>
      <xdr:rowOff>2381</xdr:rowOff>
    </xdr:from>
    <xdr:to>
      <xdr:col>25</xdr:col>
      <xdr:colOff>614435</xdr:colOff>
      <xdr:row>49</xdr:row>
      <xdr:rowOff>222050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8326380" y="10777537"/>
          <a:ext cx="385555" cy="93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rtlCol="0" anchor="ctr" anchorCtr="1">
          <a:spAutoFit/>
        </a:bodyPr>
        <a:lstStyle/>
        <a:p>
          <a:r>
            <a:rPr kumimoji="1" lang="ja-JP" altLang="en-US" sz="1100" b="1"/>
            <a:t>企業負担金</a:t>
          </a:r>
        </a:p>
      </xdr:txBody>
    </xdr:sp>
    <xdr:clientData/>
  </xdr:twoCellAnchor>
  <xdr:oneCellAnchor>
    <xdr:from>
      <xdr:col>15</xdr:col>
      <xdr:colOff>55494</xdr:colOff>
      <xdr:row>29</xdr:row>
      <xdr:rowOff>52483</xdr:rowOff>
    </xdr:from>
    <xdr:ext cx="385555" cy="270000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9794807" y="6827139"/>
          <a:ext cx="385555" cy="270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>
          <a:spAutoFit/>
        </a:bodyPr>
        <a:lstStyle/>
        <a:p>
          <a:r>
            <a:rPr kumimoji="1" lang="ja-JP" altLang="en-US" sz="1100"/>
            <a:t>補助対象受入費</a:t>
          </a:r>
        </a:p>
      </xdr:txBody>
    </xdr:sp>
    <xdr:clientData/>
  </xdr:oneCellAnchor>
  <xdr:oneCellAnchor>
    <xdr:from>
      <xdr:col>25</xdr:col>
      <xdr:colOff>267996</xdr:colOff>
      <xdr:row>50</xdr:row>
      <xdr:rowOff>226221</xdr:rowOff>
    </xdr:from>
    <xdr:ext cx="374944" cy="275717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8365496" y="11715752"/>
          <a:ext cx="374944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="1">
              <a:latin typeface="+mj-ea"/>
              <a:ea typeface="+mj-ea"/>
            </a:rPr>
            <a:t>(B)</a:t>
          </a:r>
        </a:p>
      </xdr:txBody>
    </xdr:sp>
    <xdr:clientData/>
  </xdr:oneCellAnchor>
  <xdr:twoCellAnchor editAs="oneCell">
    <xdr:from>
      <xdr:col>15</xdr:col>
      <xdr:colOff>55493</xdr:colOff>
      <xdr:row>41</xdr:row>
      <xdr:rowOff>84513</xdr:rowOff>
    </xdr:from>
    <xdr:to>
      <xdr:col>15</xdr:col>
      <xdr:colOff>484118</xdr:colOff>
      <xdr:row>50</xdr:row>
      <xdr:rowOff>209388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9794806" y="9669044"/>
          <a:ext cx="428625" cy="226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/>
        <a:lstStyle/>
        <a:p>
          <a:r>
            <a:rPr kumimoji="1" lang="ja-JP" altLang="en-US" sz="1100"/>
            <a:t>補助対象研修費</a:t>
          </a:r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41</xdr:row>
      <xdr:rowOff>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 bwMode="auto">
        <a:xfrm>
          <a:off x="11734800" y="9305925"/>
          <a:ext cx="36195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31750</xdr:colOff>
      <xdr:row>29</xdr:row>
      <xdr:rowOff>0</xdr:rowOff>
    </xdr:from>
    <xdr:to>
      <xdr:col>18</xdr:col>
      <xdr:colOff>31750</xdr:colOff>
      <xdr:row>29</xdr:row>
      <xdr:rowOff>0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 bwMode="auto">
        <a:xfrm>
          <a:off x="11861800" y="6743700"/>
          <a:ext cx="50482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10583</xdr:colOff>
      <xdr:row>32</xdr:row>
      <xdr:rowOff>227541</xdr:rowOff>
    </xdr:from>
    <xdr:to>
      <xdr:col>24</xdr:col>
      <xdr:colOff>0</xdr:colOff>
      <xdr:row>32</xdr:row>
      <xdr:rowOff>227541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 bwMode="auto">
        <a:xfrm>
          <a:off x="14307608" y="7685616"/>
          <a:ext cx="264689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24</xdr:col>
      <xdr:colOff>851400</xdr:colOff>
      <xdr:row>44</xdr:row>
      <xdr:rowOff>190503</xdr:rowOff>
    </xdr:from>
    <xdr:ext cx="386851" cy="275717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7786850" y="9972678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343F7"/>
              </a:solidFill>
              <a:latin typeface="+mj-ea"/>
              <a:ea typeface="+mj-ea"/>
            </a:rPr>
            <a:t>②</a:t>
          </a:r>
          <a:endParaRPr kumimoji="1" lang="en-US" altLang="ja-JP" sz="1100" b="1">
            <a:solidFill>
              <a:srgbClr val="0343F7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20</xdr:col>
      <xdr:colOff>922838</xdr:colOff>
      <xdr:row>31</xdr:row>
      <xdr:rowOff>200533</xdr:rowOff>
    </xdr:from>
    <xdr:ext cx="386851" cy="275717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4257838" y="7420483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343F7"/>
              </a:solidFill>
              <a:latin typeface="+mj-ea"/>
              <a:ea typeface="+mj-ea"/>
            </a:rPr>
            <a:t>③</a:t>
          </a:r>
          <a:endParaRPr kumimoji="1" lang="en-US" altLang="ja-JP" sz="1100" b="1">
            <a:solidFill>
              <a:srgbClr val="0343F7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20</xdr:col>
      <xdr:colOff>172743</xdr:colOff>
      <xdr:row>27</xdr:row>
      <xdr:rowOff>214315</xdr:rowOff>
    </xdr:from>
    <xdr:ext cx="386851" cy="275717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3483931" y="6512721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343F7"/>
              </a:solidFill>
              <a:latin typeface="+mj-ea"/>
              <a:ea typeface="+mj-ea"/>
            </a:rPr>
            <a:t>①</a:t>
          </a:r>
          <a:endParaRPr kumimoji="1" lang="en-US" altLang="ja-JP" sz="1100" b="1">
            <a:solidFill>
              <a:srgbClr val="0343F7"/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21</xdr:col>
      <xdr:colOff>0</xdr:colOff>
      <xdr:row>41</xdr:row>
      <xdr:rowOff>0</xdr:rowOff>
    </xdr:from>
    <xdr:to>
      <xdr:col>23</xdr:col>
      <xdr:colOff>799042</xdr:colOff>
      <xdr:row>41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 bwMode="auto">
        <a:xfrm>
          <a:off x="14297025" y="9544050"/>
          <a:ext cx="264689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47624</xdr:colOff>
      <xdr:row>1</xdr:row>
      <xdr:rowOff>226219</xdr:rowOff>
    </xdr:from>
    <xdr:to>
      <xdr:col>20</xdr:col>
      <xdr:colOff>59532</xdr:colOff>
      <xdr:row>3</xdr:row>
      <xdr:rowOff>235744</xdr:rowOff>
    </xdr:to>
    <xdr:sp macro="" textlink="">
      <xdr:nvSpPr>
        <xdr:cNvPr id="10" name="Text Box 22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215187" y="488157"/>
          <a:ext cx="5476876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第一四半期に精算に関わる支払がある場合は、国庫補助金が入金されてからとなるため、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支払時期が第二四半期（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月以降）になることがあります。</a:t>
          </a:r>
        </a:p>
      </xdr:txBody>
    </xdr:sp>
    <xdr:clientData/>
  </xdr:twoCellAnchor>
  <xdr:twoCellAnchor>
    <xdr:from>
      <xdr:col>4</xdr:col>
      <xdr:colOff>304810</xdr:colOff>
      <xdr:row>2</xdr:row>
      <xdr:rowOff>19050</xdr:rowOff>
    </xdr:from>
    <xdr:to>
      <xdr:col>10</xdr:col>
      <xdr:colOff>523898</xdr:colOff>
      <xdr:row>3</xdr:row>
      <xdr:rowOff>152400</xdr:rowOff>
    </xdr:to>
    <xdr:grpSp>
      <xdr:nvGrpSpPr>
        <xdr:cNvPr id="7" name="Group 28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>
          <a:grpSpLocks/>
        </xdr:cNvGrpSpPr>
      </xdr:nvGrpSpPr>
      <xdr:grpSpPr bwMode="auto">
        <a:xfrm>
          <a:off x="2733685" y="542925"/>
          <a:ext cx="4314838" cy="395288"/>
          <a:chOff x="311" y="40"/>
          <a:chExt cx="415" cy="32"/>
        </a:xfrm>
      </xdr:grpSpPr>
      <xdr:sp macro="" textlink="">
        <xdr:nvSpPr>
          <xdr:cNvPr id="8" name="Freeform 290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/>
          </xdr:cNvSpPr>
        </xdr:nvSpPr>
        <xdr:spPr bwMode="auto">
          <a:xfrm>
            <a:off x="311" y="40"/>
            <a:ext cx="5" cy="32"/>
          </a:xfrm>
          <a:custGeom>
            <a:avLst/>
            <a:gdLst>
              <a:gd name="T0" fmla="*/ 3 w 10"/>
              <a:gd name="T1" fmla="*/ 0 h 80"/>
              <a:gd name="T2" fmla="*/ 0 w 10"/>
              <a:gd name="T3" fmla="*/ 0 h 80"/>
              <a:gd name="T4" fmla="*/ 0 w 10"/>
              <a:gd name="T5" fmla="*/ 13 h 80"/>
              <a:gd name="T6" fmla="*/ 3 w 10"/>
              <a:gd name="T7" fmla="*/ 13 h 8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" h="80">
                <a:moveTo>
                  <a:pt x="9" y="0"/>
                </a:moveTo>
                <a:lnTo>
                  <a:pt x="0" y="0"/>
                </a:lnTo>
                <a:lnTo>
                  <a:pt x="0" y="80"/>
                </a:lnTo>
                <a:lnTo>
                  <a:pt x="10" y="8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9" name="Freeform 291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/>
          </xdr:cNvSpPr>
        </xdr:nvSpPr>
        <xdr:spPr bwMode="auto">
          <a:xfrm flipH="1">
            <a:off x="721" y="40"/>
            <a:ext cx="5" cy="32"/>
          </a:xfrm>
          <a:custGeom>
            <a:avLst/>
            <a:gdLst>
              <a:gd name="T0" fmla="*/ 3 w 10"/>
              <a:gd name="T1" fmla="*/ 0 h 80"/>
              <a:gd name="T2" fmla="*/ 0 w 10"/>
              <a:gd name="T3" fmla="*/ 0 h 80"/>
              <a:gd name="T4" fmla="*/ 0 w 10"/>
              <a:gd name="T5" fmla="*/ 13 h 80"/>
              <a:gd name="T6" fmla="*/ 3 w 10"/>
              <a:gd name="T7" fmla="*/ 13 h 8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" h="80">
                <a:moveTo>
                  <a:pt x="9" y="0"/>
                </a:moveTo>
                <a:lnTo>
                  <a:pt x="0" y="0"/>
                </a:lnTo>
                <a:lnTo>
                  <a:pt x="0" y="80"/>
                </a:lnTo>
                <a:lnTo>
                  <a:pt x="10" y="8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67"/>
  <sheetViews>
    <sheetView showGridLines="0" tabSelected="1" topLeftCell="A15" zoomScaleNormal="100" workbookViewId="0">
      <selection activeCell="P10" sqref="P10"/>
    </sheetView>
  </sheetViews>
  <sheetFormatPr defaultColWidth="9" defaultRowHeight="13.5" customHeight="1"/>
  <cols>
    <col min="1" max="2" width="5.625" style="153" customWidth="1"/>
    <col min="3" max="3" width="6" style="153" customWidth="1"/>
    <col min="4" max="4" width="3.125" style="153" customWidth="1"/>
    <col min="5" max="5" width="6.625" style="153" customWidth="1"/>
    <col min="6" max="6" width="8.625" style="153" customWidth="1"/>
    <col min="7" max="7" width="12.75" style="153" customWidth="1"/>
    <col min="8" max="9" width="8.625" style="153" customWidth="1"/>
    <col min="10" max="10" width="15.125" style="153" customWidth="1"/>
    <col min="11" max="11" width="8.625" style="153" customWidth="1"/>
    <col min="12" max="12" width="9.75" style="153" customWidth="1"/>
    <col min="13" max="13" width="8.625" style="153" customWidth="1"/>
    <col min="14" max="14" width="9.75" style="153" customWidth="1"/>
    <col min="15" max="15" width="10.625" style="153" customWidth="1"/>
    <col min="16" max="16" width="10.25" style="153" customWidth="1"/>
    <col min="17" max="17" width="15.625" style="203" customWidth="1"/>
    <col min="18" max="18" width="4.75" style="203" customWidth="1"/>
    <col min="19" max="19" width="10.625" style="203" customWidth="1"/>
    <col min="20" max="20" width="5.625" style="203" customWidth="1"/>
    <col min="21" max="21" width="12.625" style="203" customWidth="1"/>
    <col min="22" max="22" width="10.625" style="203" customWidth="1"/>
    <col min="23" max="23" width="13.625" style="203" customWidth="1"/>
    <col min="24" max="24" width="10.625" style="203" customWidth="1"/>
    <col min="25" max="25" width="15.25" style="203" customWidth="1"/>
    <col min="26" max="26" width="12.625" style="203" customWidth="1"/>
    <col min="27" max="16384" width="9" style="343"/>
  </cols>
  <sheetData>
    <row r="1" spans="1:26" s="153" customFormat="1" ht="20.100000000000001" customHeight="1">
      <c r="A1" s="152" t="s">
        <v>219</v>
      </c>
    </row>
    <row r="2" spans="1:26" s="153" customFormat="1" ht="18.75" customHeight="1"/>
    <row r="3" spans="1:26" s="153" customFormat="1" ht="18.75" customHeight="1">
      <c r="A3" s="152" t="s">
        <v>73</v>
      </c>
      <c r="E3" s="148"/>
      <c r="F3" s="154" t="s">
        <v>210</v>
      </c>
      <c r="G3" s="148" t="str">
        <f>"("&amp;J13W計算シート!B2&amp;")"</f>
        <v>(J13W)</v>
      </c>
      <c r="L3" s="155" t="s">
        <v>71</v>
      </c>
      <c r="M3" s="631">
        <f ca="1">TODAY()</f>
        <v>45727</v>
      </c>
      <c r="N3" s="631"/>
      <c r="Q3" s="156" t="s">
        <v>158</v>
      </c>
    </row>
    <row r="4" spans="1:26" s="153" customFormat="1" ht="18.75" customHeight="1">
      <c r="A4" s="157"/>
    </row>
    <row r="5" spans="1:26" s="153" customFormat="1" ht="18.75" customHeight="1">
      <c r="A5" s="158" t="s">
        <v>192</v>
      </c>
      <c r="B5" s="153" t="s">
        <v>151</v>
      </c>
      <c r="F5" s="637"/>
      <c r="G5" s="637"/>
      <c r="H5" s="637"/>
      <c r="I5" s="637"/>
      <c r="Q5" s="159"/>
      <c r="R5" s="160" t="s">
        <v>159</v>
      </c>
      <c r="S5" s="161"/>
      <c r="T5" s="160" t="s">
        <v>160</v>
      </c>
      <c r="U5" s="162"/>
      <c r="V5" s="161"/>
      <c r="W5" s="163" t="s">
        <v>161</v>
      </c>
      <c r="X5" s="160" t="s">
        <v>162</v>
      </c>
      <c r="Y5" s="162"/>
      <c r="Z5" s="161"/>
    </row>
    <row r="6" spans="1:26" s="153" customFormat="1" ht="18.75" customHeight="1">
      <c r="A6" s="158"/>
      <c r="Q6" s="164" t="s">
        <v>163</v>
      </c>
      <c r="R6" s="165" t="s">
        <v>164</v>
      </c>
      <c r="S6" s="166"/>
      <c r="T6" s="165" t="s">
        <v>165</v>
      </c>
      <c r="U6" s="167"/>
      <c r="V6" s="166"/>
      <c r="W6" s="168" t="str">
        <f>J26</f>
        <v>補助対象外</v>
      </c>
      <c r="X6" s="165" t="s">
        <v>166</v>
      </c>
      <c r="Y6" s="167"/>
      <c r="Z6" s="169"/>
    </row>
    <row r="7" spans="1:26" s="153" customFormat="1" ht="18.75" customHeight="1">
      <c r="A7" s="158" t="s">
        <v>193</v>
      </c>
      <c r="B7" s="153" t="s">
        <v>152</v>
      </c>
      <c r="Q7" s="170"/>
      <c r="R7" s="171" t="s">
        <v>167</v>
      </c>
      <c r="S7" s="172"/>
      <c r="T7" s="171" t="s">
        <v>155</v>
      </c>
      <c r="U7" s="173"/>
      <c r="V7" s="172"/>
      <c r="W7" s="174">
        <f>J37</f>
        <v>0</v>
      </c>
      <c r="X7" s="171" t="s">
        <v>240</v>
      </c>
      <c r="Y7" s="173"/>
      <c r="Z7" s="175"/>
    </row>
    <row r="8" spans="1:26" s="153" customFormat="1" ht="18.75" customHeight="1" thickBot="1">
      <c r="A8" s="158"/>
      <c r="I8" s="698" t="s">
        <v>194</v>
      </c>
      <c r="J8" s="691" t="s">
        <v>195</v>
      </c>
      <c r="K8" s="691"/>
      <c r="L8" s="691"/>
      <c r="U8" s="632" t="s">
        <v>168</v>
      </c>
      <c r="V8" s="633"/>
      <c r="W8" s="176">
        <f>SUM(W6:W7)</f>
        <v>0</v>
      </c>
      <c r="Z8"/>
    </row>
    <row r="9" spans="1:26" s="153" customFormat="1" ht="18.75" customHeight="1">
      <c r="A9" s="158" t="s">
        <v>169</v>
      </c>
      <c r="B9" s="153" t="s">
        <v>153</v>
      </c>
      <c r="F9" s="696">
        <f>J13W計算シート!$C$5</f>
        <v>45784</v>
      </c>
      <c r="G9" s="696"/>
      <c r="I9" s="698"/>
      <c r="J9" s="691"/>
      <c r="K9" s="691"/>
      <c r="L9" s="691"/>
      <c r="W9" s="177"/>
    </row>
    <row r="10" spans="1:26" s="153" customFormat="1" ht="18.75" customHeight="1">
      <c r="A10" s="158"/>
      <c r="J10" s="178" t="s">
        <v>170</v>
      </c>
      <c r="M10" s="149"/>
      <c r="N10" s="1" t="s">
        <v>44</v>
      </c>
      <c r="Q10" s="179" t="s">
        <v>29</v>
      </c>
      <c r="R10" s="180" t="s">
        <v>47</v>
      </c>
      <c r="S10" s="180"/>
      <c r="T10" s="181" t="s">
        <v>171</v>
      </c>
      <c r="U10" s="182"/>
      <c r="V10" s="183"/>
      <c r="W10" s="184">
        <f>IF(J13W計算シート!$B$24=3,$J$32,0)</f>
        <v>0</v>
      </c>
      <c r="X10" s="181" t="s">
        <v>172</v>
      </c>
      <c r="Y10" s="182"/>
      <c r="Z10" s="185"/>
    </row>
    <row r="11" spans="1:26" s="153" customFormat="1" ht="18.75" customHeight="1" thickBot="1">
      <c r="A11" s="158" t="s">
        <v>196</v>
      </c>
      <c r="B11" s="153" t="s">
        <v>214</v>
      </c>
      <c r="F11" s="138">
        <v>183</v>
      </c>
      <c r="G11" s="1" t="s">
        <v>49</v>
      </c>
      <c r="J11" s="186" t="str">
        <f>"補助対象宿泊費 (上限"&amp;TEXT(【宿舎費_外部宿舎】,"#,###")&amp;"円／泊)："</f>
        <v>補助対象宿泊費 (上限8,500円／泊)：</v>
      </c>
      <c r="K11"/>
      <c r="M11" s="187">
        <f>IF($M$10&gt;【宿舎費_外部宿舎】,【宿舎費_外部宿舎】,$M$10)</f>
        <v>0</v>
      </c>
      <c r="N11" s="188" t="s">
        <v>44</v>
      </c>
      <c r="Q11" s="189"/>
      <c r="U11" s="632" t="s">
        <v>168</v>
      </c>
      <c r="V11" s="633"/>
      <c r="W11" s="176">
        <f>SUM(W10:W10)</f>
        <v>0</v>
      </c>
      <c r="Z11"/>
    </row>
    <row r="12" spans="1:26" s="153" customFormat="1" ht="18.75" customHeight="1">
      <c r="A12" s="158"/>
      <c r="B12" s="153" t="s">
        <v>215</v>
      </c>
      <c r="F12" s="516">
        <f>$F$11+1</f>
        <v>184</v>
      </c>
      <c r="G12" s="1" t="s">
        <v>216</v>
      </c>
      <c r="W12" s="177"/>
    </row>
    <row r="13" spans="1:26" s="153" customFormat="1" ht="18.75" customHeight="1">
      <c r="A13" s="158"/>
      <c r="B13" s="190" t="s">
        <v>220</v>
      </c>
      <c r="C13" s="1"/>
      <c r="D13" s="191"/>
      <c r="I13" s="196" t="s">
        <v>198</v>
      </c>
      <c r="J13" t="s">
        <v>238</v>
      </c>
      <c r="Q13" s="192" t="s">
        <v>173</v>
      </c>
      <c r="R13" s="192" t="s">
        <v>174</v>
      </c>
      <c r="S13" s="193"/>
      <c r="T13" s="165" t="s">
        <v>175</v>
      </c>
      <c r="U13" s="167"/>
      <c r="V13" s="166"/>
      <c r="W13" s="168">
        <f>J33</f>
        <v>285200</v>
      </c>
      <c r="X13" s="165" t="s">
        <v>176</v>
      </c>
      <c r="Y13" s="167"/>
      <c r="Z13" s="166"/>
    </row>
    <row r="14" spans="1:26" s="153" customFormat="1" ht="18.75" customHeight="1">
      <c r="A14" s="158"/>
      <c r="B14" s="190" t="s">
        <v>197</v>
      </c>
      <c r="F14" s="3" t="str">
        <f>IF(J13W計算シート!$C$12=0,"(0日)",TEXT(J13W計算シート!$C$12,"yyyy/m/d")&amp;"～"&amp;TEXT(J13W計算シート!$C$14,"yyyy/m/d")&amp;"("&amp;J13W計算シート!$C$13&amp;"日)")</f>
        <v>2025/8/7～2025/11/6(92日)</v>
      </c>
      <c r="J14" s="190" t="s">
        <v>122</v>
      </c>
      <c r="K14" s="1"/>
      <c r="L14" s="1"/>
      <c r="M14" s="44"/>
      <c r="N14" s="3" t="s">
        <v>77</v>
      </c>
      <c r="Q14" s="194"/>
      <c r="R14" s="194"/>
      <c r="S14" s="195"/>
      <c r="T14" s="171" t="s">
        <v>2</v>
      </c>
      <c r="U14" s="173"/>
      <c r="V14" s="172"/>
      <c r="W14" s="174">
        <f>J34</f>
        <v>184000</v>
      </c>
      <c r="X14" s="171" t="s">
        <v>176</v>
      </c>
      <c r="Y14" s="173"/>
      <c r="Z14" s="172"/>
    </row>
    <row r="15" spans="1:26" s="153" customFormat="1" ht="18.75" customHeight="1" thickBot="1">
      <c r="A15" s="158"/>
      <c r="J15" s="190" t="s">
        <v>79</v>
      </c>
      <c r="K15" s="1"/>
      <c r="L15" s="1"/>
      <c r="M15" s="44"/>
      <c r="N15" s="3" t="s">
        <v>77</v>
      </c>
      <c r="U15" s="632" t="s">
        <v>168</v>
      </c>
      <c r="V15" s="633"/>
      <c r="W15" s="176">
        <f>SUM(W13:W14)</f>
        <v>469200</v>
      </c>
      <c r="Z15"/>
    </row>
    <row r="16" spans="1:26" s="153" customFormat="1" ht="18.75" customHeight="1">
      <c r="A16" s="158" t="s">
        <v>177</v>
      </c>
      <c r="B16" s="153" t="s">
        <v>178</v>
      </c>
      <c r="F16" s="697"/>
      <c r="G16" s="697"/>
      <c r="H16" s="153" t="s">
        <v>77</v>
      </c>
      <c r="J16" s="190" t="s">
        <v>78</v>
      </c>
      <c r="K16" s="1"/>
      <c r="L16" s="1"/>
      <c r="M16" s="44"/>
      <c r="N16" s="3" t="s">
        <v>77</v>
      </c>
      <c r="W16" s="177"/>
    </row>
    <row r="17" spans="1:26" s="153" customFormat="1" ht="18.75" customHeight="1">
      <c r="B17" s="197" t="s">
        <v>291</v>
      </c>
      <c r="L17" s="695" t="s">
        <v>4</v>
      </c>
      <c r="M17" s="699">
        <f>SUM(M14:M16)</f>
        <v>0</v>
      </c>
      <c r="N17" s="700" t="s">
        <v>77</v>
      </c>
      <c r="Q17" s="192" t="s">
        <v>179</v>
      </c>
      <c r="R17" s="192" t="s">
        <v>180</v>
      </c>
      <c r="S17" s="193"/>
      <c r="T17" s="165" t="s">
        <v>9</v>
      </c>
      <c r="U17" s="167"/>
      <c r="V17" s="166"/>
      <c r="W17" s="168">
        <f>J36</f>
        <v>309120</v>
      </c>
      <c r="X17" s="167" t="s">
        <v>181</v>
      </c>
      <c r="Y17" s="167"/>
      <c r="Z17" s="166"/>
    </row>
    <row r="18" spans="1:26" s="153" customFormat="1" ht="18.75" customHeight="1">
      <c r="A18" s="196"/>
      <c r="B18" s="627" t="s">
        <v>295</v>
      </c>
      <c r="L18" s="695"/>
      <c r="M18" s="699"/>
      <c r="N18" s="700"/>
      <c r="Q18" s="194"/>
      <c r="R18" s="194"/>
      <c r="S18" s="195"/>
      <c r="T18" s="171" t="s">
        <v>182</v>
      </c>
      <c r="U18" s="173"/>
      <c r="V18" s="172"/>
      <c r="W18" s="174">
        <f>IF(J13W計算シート!$B$24=2,$J$32,0)</f>
        <v>144440</v>
      </c>
      <c r="X18" s="171" t="s">
        <v>183</v>
      </c>
      <c r="Y18" s="173"/>
      <c r="Z18" s="175"/>
    </row>
    <row r="19" spans="1:26" s="153" customFormat="1" ht="18.75" customHeight="1" thickBot="1">
      <c r="M19" s="198"/>
      <c r="N19" s="1" t="s">
        <v>74</v>
      </c>
      <c r="U19" s="632" t="s">
        <v>168</v>
      </c>
      <c r="V19" s="632"/>
      <c r="W19" s="176">
        <f>SUM(W17:W18)</f>
        <v>453560</v>
      </c>
      <c r="Z19"/>
    </row>
    <row r="20" spans="1:26" s="153" customFormat="1" ht="16.5" customHeight="1">
      <c r="I20" s="199"/>
      <c r="M20" s="199"/>
      <c r="N20" s="199"/>
    </row>
    <row r="21" spans="1:26" s="153" customFormat="1" ht="16.5" customHeight="1">
      <c r="A21" s="152" t="s">
        <v>43</v>
      </c>
      <c r="B21" s="200"/>
      <c r="C21" s="200"/>
      <c r="D21" s="200"/>
      <c r="K21" s="201"/>
      <c r="M21" s="202"/>
      <c r="Q21" s="203"/>
      <c r="R21" s="203"/>
      <c r="S21" s="203"/>
      <c r="T21" s="203"/>
      <c r="U21" s="203"/>
      <c r="V21" s="203"/>
      <c r="W21" s="203"/>
      <c r="X21" s="203"/>
      <c r="Y21" s="203"/>
      <c r="Z21" s="203"/>
    </row>
    <row r="22" spans="1:26" s="153" customFormat="1" ht="16.5" customHeight="1">
      <c r="A22" s="200"/>
      <c r="B22" s="656" t="s">
        <v>72</v>
      </c>
      <c r="C22" s="656"/>
      <c r="D22" s="656"/>
      <c r="E22" s="656"/>
      <c r="F22" s="656"/>
      <c r="G22" s="656"/>
      <c r="H22" s="656"/>
      <c r="I22" s="656"/>
      <c r="J22" s="656"/>
      <c r="K22" s="656"/>
      <c r="L22" s="656"/>
      <c r="M22" s="656"/>
      <c r="N22" s="656"/>
      <c r="Q22" s="203"/>
      <c r="R22" s="203"/>
      <c r="S22" s="203"/>
      <c r="T22" s="203"/>
      <c r="U22" s="203"/>
      <c r="V22" s="203"/>
      <c r="W22" s="203"/>
      <c r="X22" s="203"/>
      <c r="Y22" s="203"/>
      <c r="Z22" s="203"/>
    </row>
    <row r="23" spans="1:26" s="153" customFormat="1" ht="16.5" customHeight="1" thickBot="1">
      <c r="B23" s="657"/>
      <c r="C23" s="657"/>
      <c r="D23" s="657"/>
      <c r="E23" s="657"/>
      <c r="F23" s="657"/>
      <c r="G23" s="657"/>
      <c r="H23" s="657"/>
      <c r="I23" s="657"/>
      <c r="J23" s="657"/>
      <c r="K23" s="657"/>
      <c r="L23" s="657"/>
      <c r="M23" s="657"/>
      <c r="N23" s="657"/>
      <c r="Q23" s="203"/>
      <c r="R23" s="203"/>
      <c r="S23" s="203"/>
      <c r="T23" s="203"/>
      <c r="U23" s="203"/>
      <c r="V23" s="203"/>
      <c r="W23" s="203"/>
      <c r="X23" s="203"/>
      <c r="Y23" s="203"/>
      <c r="Z23" s="203"/>
    </row>
    <row r="24" spans="1:26" s="153" customFormat="1" ht="16.5" customHeight="1">
      <c r="B24" s="645" t="s">
        <v>184</v>
      </c>
      <c r="C24" s="646"/>
      <c r="D24" s="646"/>
      <c r="E24" s="646"/>
      <c r="F24" s="646"/>
      <c r="G24" s="647"/>
      <c r="H24" s="643" t="s">
        <v>31</v>
      </c>
      <c r="I24" s="643" t="s">
        <v>38</v>
      </c>
      <c r="J24" s="641" t="s">
        <v>0</v>
      </c>
      <c r="K24" s="638" t="s">
        <v>126</v>
      </c>
      <c r="L24" s="639"/>
      <c r="M24" s="654" t="s">
        <v>37</v>
      </c>
      <c r="N24" s="655"/>
      <c r="Q24" s="203"/>
      <c r="R24" s="203"/>
      <c r="S24" s="203"/>
      <c r="T24" s="203"/>
      <c r="U24" s="203"/>
      <c r="V24" s="203"/>
      <c r="W24" s="203"/>
      <c r="X24" s="203"/>
      <c r="Y24" s="203"/>
      <c r="Z24" s="203"/>
    </row>
    <row r="25" spans="1:26" s="153" customFormat="1" ht="16.5" customHeight="1" thickBot="1">
      <c r="B25" s="648"/>
      <c r="C25" s="649"/>
      <c r="D25" s="649"/>
      <c r="E25" s="649"/>
      <c r="F25" s="649"/>
      <c r="G25" s="650"/>
      <c r="H25" s="644"/>
      <c r="I25" s="644"/>
      <c r="J25" s="642"/>
      <c r="K25" s="204" t="s">
        <v>39</v>
      </c>
      <c r="L25" s="205">
        <f>VLOOKUP(【研修申込区分】,【研修申込区分別費用】,3,FALSE)</f>
        <v>0.33333333333333331</v>
      </c>
      <c r="M25" s="206" t="s">
        <v>40</v>
      </c>
      <c r="N25" s="207">
        <f>VLOOKUP(【研修申込区分】,【研修申込区分別費用】,4,FALSE)</f>
        <v>0.66666666666666674</v>
      </c>
      <c r="Q25" s="156" t="s">
        <v>222</v>
      </c>
      <c r="R25" s="156"/>
      <c r="S25" s="156"/>
      <c r="T25" s="156"/>
    </row>
    <row r="26" spans="1:26" s="153" customFormat="1" ht="18.75" customHeight="1">
      <c r="B26" s="675" t="s">
        <v>185</v>
      </c>
      <c r="C26" s="153" t="s">
        <v>134</v>
      </c>
      <c r="G26" s="208" t="s">
        <v>0</v>
      </c>
      <c r="H26" s="209"/>
      <c r="I26" s="210" t="s">
        <v>137</v>
      </c>
      <c r="J26" s="518" t="str">
        <f>IF(VLOOKUP(【研修申込区分】,【研修申込区分別費用】,8,FALSE)="対象",$F$16,"補助対象外")</f>
        <v>補助対象外</v>
      </c>
      <c r="K26" s="692" t="str">
        <f>IF(VLOOKUP(【研修申込区分】,【研修申込区分別費用】,8,FALSE)="対象",ROUNDDOWN(J26*$L$25,0),"補助対象外")</f>
        <v>補助対象外</v>
      </c>
      <c r="L26" s="693"/>
      <c r="M26" s="683" t="str">
        <f>IF(VLOOKUP(【研修申込区分】,【研修申込区分別費用】,8,FALSE)="対象",ROUNDUP(J26*$N$25,0),"補助対象外")</f>
        <v>補助対象外</v>
      </c>
      <c r="N26" s="684"/>
    </row>
    <row r="27" spans="1:26" s="153" customFormat="1" ht="18.75" customHeight="1">
      <c r="B27" s="673"/>
      <c r="C27" s="651" t="s">
        <v>26</v>
      </c>
      <c r="D27" s="211" t="s">
        <v>11</v>
      </c>
      <c r="E27" s="182"/>
      <c r="F27" s="182"/>
      <c r="G27" s="212"/>
      <c r="H27" s="213"/>
      <c r="I27" s="214"/>
      <c r="J27" s="214"/>
      <c r="K27" s="694"/>
      <c r="L27" s="685"/>
      <c r="M27" s="685"/>
      <c r="N27" s="686"/>
      <c r="Q27" s="203"/>
      <c r="R27" s="203"/>
      <c r="S27" s="203"/>
      <c r="T27" s="203"/>
      <c r="U27" s="203"/>
      <c r="V27" s="203"/>
      <c r="W27" s="203"/>
      <c r="X27" s="203"/>
      <c r="Y27" s="203"/>
      <c r="Z27" s="203"/>
    </row>
    <row r="28" spans="1:26" s="153" customFormat="1" ht="18.75" customHeight="1">
      <c r="B28" s="673"/>
      <c r="C28" s="652"/>
      <c r="D28" s="215"/>
      <c r="E28" s="216" t="s">
        <v>10</v>
      </c>
      <c r="F28" s="217"/>
      <c r="G28" s="218" t="s">
        <v>33</v>
      </c>
      <c r="H28" s="219">
        <f>【宿舎費_研修センター】+【食費_夕食】+【食費_朝食】</f>
        <v>10600</v>
      </c>
      <c r="I28" s="220">
        <v>1</v>
      </c>
      <c r="J28" s="221">
        <f t="shared" ref="J28:J36" si="0">H28*I28</f>
        <v>10600</v>
      </c>
      <c r="K28" s="662">
        <f t="shared" ref="K28:K36" si="1">ROUNDDOWN(J28*$L$25,0)</f>
        <v>3533</v>
      </c>
      <c r="L28" s="663"/>
      <c r="M28" s="687">
        <f t="shared" ref="M28:M36" si="2">ROUNDUP(J28*$N$25,0)</f>
        <v>7067</v>
      </c>
      <c r="N28" s="688"/>
      <c r="Q28" s="222" t="s">
        <v>279</v>
      </c>
      <c r="R28" s="203"/>
      <c r="S28" s="223" t="s">
        <v>156</v>
      </c>
      <c r="T28" s="223"/>
      <c r="U28" s="223"/>
      <c r="V28" s="203"/>
      <c r="W28" s="224"/>
      <c r="X28" s="203"/>
      <c r="Y28" s="225"/>
      <c r="Z28" s="225"/>
    </row>
    <row r="29" spans="1:26" s="153" customFormat="1" ht="18.75" customHeight="1" thickBot="1">
      <c r="B29" s="673"/>
      <c r="C29" s="652"/>
      <c r="D29" s="215"/>
      <c r="E29" s="216" t="s">
        <v>106</v>
      </c>
      <c r="F29" s="217"/>
      <c r="G29" s="218" t="s">
        <v>33</v>
      </c>
      <c r="H29" s="219">
        <f>【宿舎費_研修センター】+【食費_昼食】+【食費_夕食】+【食費_朝食】</f>
        <v>11600</v>
      </c>
      <c r="I29" s="226">
        <f>VLOOKUP(J13W計算シート!B46,【日程表】,6,FALSE)-I28-I30</f>
        <v>89</v>
      </c>
      <c r="J29" s="221">
        <f t="shared" si="0"/>
        <v>1032400</v>
      </c>
      <c r="K29" s="662">
        <f t="shared" si="1"/>
        <v>344133</v>
      </c>
      <c r="L29" s="663"/>
      <c r="M29" s="687">
        <f t="shared" si="2"/>
        <v>688267</v>
      </c>
      <c r="N29" s="688"/>
      <c r="Q29" s="227"/>
      <c r="R29" s="203"/>
      <c r="S29" s="228">
        <f>$J$38</f>
        <v>2024440</v>
      </c>
      <c r="T29" s="228"/>
      <c r="U29" s="228"/>
      <c r="V29" s="203"/>
      <c r="W29" s="227"/>
      <c r="X29" s="203"/>
      <c r="Y29" s="225"/>
      <c r="Z29" s="225"/>
    </row>
    <row r="30" spans="1:26" s="153" customFormat="1" ht="18.75" customHeight="1">
      <c r="B30" s="673"/>
      <c r="C30" s="652"/>
      <c r="D30" s="215"/>
      <c r="E30" s="211" t="s">
        <v>35</v>
      </c>
      <c r="F30" s="229"/>
      <c r="G30" s="230" t="s">
        <v>29</v>
      </c>
      <c r="H30" s="231">
        <f>【宿舎費_研修旅行中】</f>
        <v>14500</v>
      </c>
      <c r="I30" s="232">
        <v>2</v>
      </c>
      <c r="J30" s="233">
        <f t="shared" si="0"/>
        <v>29000</v>
      </c>
      <c r="K30" s="666">
        <f t="shared" si="1"/>
        <v>9666</v>
      </c>
      <c r="L30" s="667"/>
      <c r="M30" s="679">
        <f t="shared" si="2"/>
        <v>19334</v>
      </c>
      <c r="N30" s="680"/>
      <c r="Q30" s="234"/>
      <c r="R30" s="235"/>
      <c r="S30" s="236" t="s">
        <v>223</v>
      </c>
      <c r="T30" s="237"/>
      <c r="U30" s="238"/>
      <c r="V30" s="203"/>
      <c r="W30" s="239"/>
      <c r="X30" s="203"/>
      <c r="Y30" s="203"/>
      <c r="Z30" s="203"/>
    </row>
    <row r="31" spans="1:26" s="153" customFormat="1" ht="18.75" customHeight="1">
      <c r="B31" s="673"/>
      <c r="C31" s="652"/>
      <c r="D31" s="240"/>
      <c r="E31" s="241"/>
      <c r="F31" s="242"/>
      <c r="G31" s="243" t="s">
        <v>36</v>
      </c>
      <c r="H31" s="244">
        <f>【食費_昼食】+【食費_夕食】+【食費_朝食】</f>
        <v>3100</v>
      </c>
      <c r="I31" s="245">
        <v>2</v>
      </c>
      <c r="J31" s="246">
        <f t="shared" si="0"/>
        <v>6200</v>
      </c>
      <c r="K31" s="664">
        <f t="shared" si="1"/>
        <v>2066</v>
      </c>
      <c r="L31" s="665"/>
      <c r="M31" s="681">
        <f t="shared" si="2"/>
        <v>4134</v>
      </c>
      <c r="N31" s="682"/>
      <c r="Q31" s="247"/>
      <c r="R31" s="235"/>
      <c r="S31" s="248" t="s">
        <v>264</v>
      </c>
      <c r="T31" s="249"/>
      <c r="U31" s="557">
        <f>$J$59-$J$57</f>
        <v>1078200</v>
      </c>
      <c r="V31" s="203"/>
      <c r="W31" s="250"/>
      <c r="X31" s="203"/>
    </row>
    <row r="32" spans="1:26" s="153" customFormat="1" ht="18.75" customHeight="1">
      <c r="B32" s="673"/>
      <c r="C32" s="652"/>
      <c r="D32" s="252" t="s">
        <v>32</v>
      </c>
      <c r="G32" s="230" t="s">
        <v>29</v>
      </c>
      <c r="H32" s="231">
        <f>IF(【実地研修中の宿泊】=1,【宿舎費_研修センター】+【食費_夕食】+【食費_朝食】,IF(【実地研修中の宿泊】=2,【宿舎費_会社施設】,$M$11))</f>
        <v>1570</v>
      </c>
      <c r="I32" s="232">
        <f>J13W計算シート!$C$13</f>
        <v>92</v>
      </c>
      <c r="J32" s="233">
        <f t="shared" si="0"/>
        <v>144440</v>
      </c>
      <c r="K32" s="666">
        <f t="shared" si="1"/>
        <v>48146</v>
      </c>
      <c r="L32" s="667"/>
      <c r="M32" s="679">
        <f t="shared" si="2"/>
        <v>96294</v>
      </c>
      <c r="N32" s="680"/>
      <c r="Q32" s="253" t="s">
        <v>138</v>
      </c>
      <c r="R32" s="235"/>
      <c r="S32" s="248" t="s">
        <v>265</v>
      </c>
      <c r="T32" s="249"/>
      <c r="U32" s="254">
        <f>$J$57</f>
        <v>23480</v>
      </c>
      <c r="V32" s="203"/>
      <c r="W32" s="250"/>
      <c r="X32" s="203"/>
      <c r="Y32" s="251" t="s">
        <v>186</v>
      </c>
      <c r="Z32" s="203"/>
    </row>
    <row r="33" spans="1:26" s="153" customFormat="1" ht="18.75" customHeight="1" thickBot="1">
      <c r="B33" s="673"/>
      <c r="C33" s="652"/>
      <c r="D33" s="256"/>
      <c r="E33" s="257"/>
      <c r="F33" s="257"/>
      <c r="G33" s="243" t="str">
        <f>IF(【実地研修中の宿泊】=1,"食費(昼食費)","食費")</f>
        <v>食費</v>
      </c>
      <c r="H33" s="244">
        <f>IF(【実地研修中の宿泊】=1,【食費_昼食】,【食費_昼食】+【食費_夕食】+【食費_朝食】)</f>
        <v>3100</v>
      </c>
      <c r="I33" s="245">
        <f>J13W計算シート!$C$13</f>
        <v>92</v>
      </c>
      <c r="J33" s="246">
        <f t="shared" si="0"/>
        <v>285200</v>
      </c>
      <c r="K33" s="664">
        <f t="shared" si="1"/>
        <v>95066</v>
      </c>
      <c r="L33" s="665"/>
      <c r="M33" s="681">
        <f t="shared" si="2"/>
        <v>190134</v>
      </c>
      <c r="N33" s="682"/>
      <c r="Q33" s="253"/>
      <c r="R33" s="203"/>
      <c r="S33" s="559"/>
      <c r="T33" s="560"/>
      <c r="U33" s="576">
        <f>SUM(U31:U32)</f>
        <v>1101680</v>
      </c>
      <c r="V33" s="203"/>
      <c r="W33" s="250"/>
      <c r="X33" s="203"/>
      <c r="Y33" s="255" t="s">
        <v>141</v>
      </c>
      <c r="Z33" s="203"/>
    </row>
    <row r="34" spans="1:26" s="153" customFormat="1" ht="18.75" customHeight="1">
      <c r="B34" s="673"/>
      <c r="C34" s="653"/>
      <c r="D34" s="216" t="s">
        <v>2</v>
      </c>
      <c r="E34" s="217"/>
      <c r="F34" s="217"/>
      <c r="G34" s="183"/>
      <c r="H34" s="259">
        <f>【雑費】</f>
        <v>1000</v>
      </c>
      <c r="I34" s="260">
        <f>F12</f>
        <v>184</v>
      </c>
      <c r="J34" s="261">
        <f t="shared" si="0"/>
        <v>184000</v>
      </c>
      <c r="K34" s="662">
        <f t="shared" si="1"/>
        <v>61333</v>
      </c>
      <c r="L34" s="663"/>
      <c r="M34" s="687">
        <f t="shared" si="2"/>
        <v>122667</v>
      </c>
      <c r="N34" s="688"/>
      <c r="Q34" s="262">
        <f>$K$38</f>
        <v>674809</v>
      </c>
      <c r="R34" s="203"/>
      <c r="S34" s="258" t="s">
        <v>218</v>
      </c>
      <c r="T34" s="264"/>
      <c r="U34" s="265"/>
      <c r="V34" s="223"/>
      <c r="W34" s="288"/>
      <c r="X34" s="223"/>
      <c r="Y34" s="561"/>
      <c r="Z34" s="562"/>
    </row>
    <row r="35" spans="1:26" s="153" customFormat="1" ht="18.75" customHeight="1">
      <c r="B35" s="673"/>
      <c r="C35" s="268" t="s">
        <v>260</v>
      </c>
      <c r="D35" s="229"/>
      <c r="E35" s="229"/>
      <c r="F35" s="229"/>
      <c r="G35" s="193"/>
      <c r="H35" s="555" t="s">
        <v>261</v>
      </c>
      <c r="I35" s="554">
        <f>F12</f>
        <v>184</v>
      </c>
      <c r="J35" s="273">
        <f>VLOOKUP("該当",【海外旅行保険】,3,FALSE)</f>
        <v>23480</v>
      </c>
      <c r="K35" s="662">
        <f>ROUNDDOWN(J35*$L$25,0)</f>
        <v>7826</v>
      </c>
      <c r="L35" s="663"/>
      <c r="M35" s="687">
        <f>ROUNDUP(J35*$N$25,0)</f>
        <v>15654</v>
      </c>
      <c r="N35" s="688"/>
      <c r="Q35" s="247" t="str">
        <f>"("&amp;TEXT(VLOOKUP(【研修申込区分】,【研修申込区分別費用】,3,FALSE),"# ?/?")&amp;" )"</f>
        <v>( 1/3 )</v>
      </c>
      <c r="R35" s="203"/>
      <c r="S35" s="263" t="s">
        <v>187</v>
      </c>
      <c r="T35" s="264"/>
      <c r="U35" s="265" t="str">
        <f>$J$26</f>
        <v>補助対象外</v>
      </c>
      <c r="V35" s="223"/>
      <c r="W35" s="288"/>
      <c r="X35" s="223"/>
      <c r="Y35" s="266" t="s">
        <v>139</v>
      </c>
      <c r="Z35" s="267" t="str">
        <f>$U$35</f>
        <v>補助対象外</v>
      </c>
    </row>
    <row r="36" spans="1:26" s="153" customFormat="1" ht="18.75" customHeight="1">
      <c r="B36" s="673"/>
      <c r="C36" s="268" t="s">
        <v>3</v>
      </c>
      <c r="D36" s="268"/>
      <c r="E36" s="268"/>
      <c r="F36" s="268"/>
      <c r="G36" s="193"/>
      <c r="H36" s="269">
        <f>VLOOKUP(【研修申込区分】,【研修申込区分別費用】,5,FALSE)</f>
        <v>3360</v>
      </c>
      <c r="I36" s="270">
        <f>J13W計算シート!$C$13</f>
        <v>92</v>
      </c>
      <c r="J36" s="271">
        <f t="shared" si="0"/>
        <v>309120</v>
      </c>
      <c r="K36" s="662">
        <f t="shared" si="1"/>
        <v>103040</v>
      </c>
      <c r="L36" s="663"/>
      <c r="M36" s="687">
        <f t="shared" si="2"/>
        <v>206080</v>
      </c>
      <c r="N36" s="688"/>
      <c r="Q36" s="573"/>
      <c r="R36" s="203"/>
      <c r="S36" s="263" t="s">
        <v>266</v>
      </c>
      <c r="T36" s="264"/>
      <c r="U36" s="265">
        <f>IF(【実地研修中の宿泊】=1,0,$J$32)</f>
        <v>144440</v>
      </c>
      <c r="V36" s="223"/>
      <c r="W36" s="288"/>
      <c r="X36" s="223"/>
      <c r="Y36" s="272" t="s">
        <v>29</v>
      </c>
      <c r="Z36" s="273">
        <f>$U$36</f>
        <v>144440</v>
      </c>
    </row>
    <row r="37" spans="1:26" s="153" customFormat="1" ht="18.75" customHeight="1" thickBot="1">
      <c r="B37" s="676"/>
      <c r="C37" s="274" t="s">
        <v>239</v>
      </c>
      <c r="D37" s="274"/>
      <c r="E37" s="274"/>
      <c r="F37" s="274"/>
      <c r="G37" s="275"/>
      <c r="H37" s="276" t="s">
        <v>188</v>
      </c>
      <c r="I37" s="277" t="s">
        <v>188</v>
      </c>
      <c r="J37" s="278">
        <f>$M$17</f>
        <v>0</v>
      </c>
      <c r="K37" s="660">
        <f t="shared" ref="K37" si="3">ROUNDDOWN(J37*$L$25,0)</f>
        <v>0</v>
      </c>
      <c r="L37" s="661"/>
      <c r="M37" s="689">
        <f t="shared" ref="M37" si="4">ROUNDUP(J37*$N$25,0)</f>
        <v>0</v>
      </c>
      <c r="N37" s="690"/>
      <c r="Q37" s="247"/>
      <c r="R37" s="203"/>
      <c r="S37" s="263" t="s">
        <v>267</v>
      </c>
      <c r="T37" s="264"/>
      <c r="U37" s="265">
        <f>$J$33</f>
        <v>285200</v>
      </c>
      <c r="V37" s="223" t="s">
        <v>269</v>
      </c>
      <c r="W37" s="290"/>
      <c r="X37" s="558"/>
      <c r="Y37" s="266" t="s">
        <v>189</v>
      </c>
      <c r="Z37" s="279">
        <f>$U$37</f>
        <v>285200</v>
      </c>
    </row>
    <row r="38" spans="1:26" s="153" customFormat="1" ht="18.75" customHeight="1" thickBot="1">
      <c r="B38" s="634" t="s">
        <v>135</v>
      </c>
      <c r="C38" s="635"/>
      <c r="D38" s="635"/>
      <c r="E38" s="635"/>
      <c r="F38" s="635"/>
      <c r="G38" s="635"/>
      <c r="H38" s="635"/>
      <c r="I38" s="636"/>
      <c r="J38" s="280">
        <f>SUM(J26:J37)</f>
        <v>2024440</v>
      </c>
      <c r="K38" s="658">
        <f>SUM(K26:K37)</f>
        <v>674809</v>
      </c>
      <c r="L38" s="659"/>
      <c r="M38" s="677">
        <f>SUM(M26:M37)</f>
        <v>1349631</v>
      </c>
      <c r="N38" s="678"/>
      <c r="Q38" s="520"/>
      <c r="R38" s="203"/>
      <c r="S38" s="263" t="s">
        <v>268</v>
      </c>
      <c r="T38" s="264"/>
      <c r="U38" s="265">
        <f>$J$34</f>
        <v>184000</v>
      </c>
      <c r="V38" s="282">
        <f>$S$29-$U$33</f>
        <v>922760</v>
      </c>
      <c r="W38" s="223"/>
      <c r="X38" s="283"/>
      <c r="Y38" s="266" t="s">
        <v>190</v>
      </c>
      <c r="Z38" s="279">
        <f>$U$38</f>
        <v>184000</v>
      </c>
    </row>
    <row r="39" spans="1:26" s="153" customFormat="1" ht="16.5" customHeight="1">
      <c r="A39"/>
      <c r="B39" s="284"/>
      <c r="C39" s="285"/>
      <c r="D39" s="285"/>
      <c r="E39" s="285"/>
      <c r="F39" s="285"/>
      <c r="G39" s="285"/>
      <c r="H39" s="285"/>
      <c r="I39" s="285"/>
      <c r="J39" s="286" t="s">
        <v>80</v>
      </c>
      <c r="K39" s="640" t="s">
        <v>41</v>
      </c>
      <c r="L39" s="640"/>
      <c r="M39" s="640" t="s">
        <v>234</v>
      </c>
      <c r="N39" s="640"/>
      <c r="Q39" s="281" t="s">
        <v>233</v>
      </c>
      <c r="R39" s="203"/>
      <c r="S39" s="263" t="s">
        <v>154</v>
      </c>
      <c r="T39" s="264"/>
      <c r="U39" s="265">
        <f>$J$36</f>
        <v>309120</v>
      </c>
      <c r="V39" s="288"/>
      <c r="W39" s="223"/>
      <c r="X39" s="223"/>
      <c r="Y39" s="266" t="s">
        <v>140</v>
      </c>
      <c r="Z39" s="267">
        <f>$U$39</f>
        <v>309120</v>
      </c>
    </row>
    <row r="40" spans="1:26" s="153" customFormat="1" ht="16.5" customHeight="1">
      <c r="C40" s="199"/>
      <c r="D40" s="199"/>
      <c r="E40" s="199"/>
      <c r="F40" s="199"/>
      <c r="G40" s="199"/>
      <c r="H40" s="199"/>
      <c r="I40" s="199"/>
      <c r="J40" s="199"/>
      <c r="Q40" s="287">
        <f>$M$38</f>
        <v>1349631</v>
      </c>
      <c r="R40" s="235"/>
      <c r="S40" s="263" t="s">
        <v>208</v>
      </c>
      <c r="T40" s="264"/>
      <c r="U40" s="523">
        <f>$M$17</f>
        <v>0</v>
      </c>
      <c r="V40" s="288"/>
      <c r="W40" s="223"/>
      <c r="X40" s="290"/>
      <c r="Y40" s="272" t="s">
        <v>142</v>
      </c>
      <c r="Z40" s="524">
        <f>$M$17</f>
        <v>0</v>
      </c>
    </row>
    <row r="41" spans="1:26" s="153" customFormat="1" ht="18.75" customHeight="1" thickBot="1">
      <c r="B41" s="656" t="s">
        <v>280</v>
      </c>
      <c r="C41" s="656"/>
      <c r="D41" s="656"/>
      <c r="E41" s="656"/>
      <c r="F41" s="656"/>
      <c r="G41" s="656"/>
      <c r="H41" s="656"/>
      <c r="I41" s="656"/>
      <c r="J41" s="656"/>
      <c r="Q41" s="289" t="str">
        <f>"("&amp;TEXT(VLOOKUP(【研修申込区分】,【研修申込区分別費用】,4,FALSE),"# ?/?")&amp;" )"</f>
        <v>( 2/3 )</v>
      </c>
      <c r="R41" s="203"/>
      <c r="S41" s="521"/>
      <c r="T41" s="522"/>
      <c r="U41" s="577">
        <f>SUM(U35:U40)</f>
        <v>922760</v>
      </c>
      <c r="V41" s="290"/>
      <c r="W41" s="223"/>
      <c r="X41" s="290"/>
      <c r="Y41" s="525"/>
      <c r="Z41" s="578">
        <f>SUM(Z35:Z40)</f>
        <v>922760</v>
      </c>
    </row>
    <row r="42" spans="1:26" s="153" customFormat="1" ht="18.75" customHeight="1" thickBot="1">
      <c r="B42" s="656"/>
      <c r="C42" s="656"/>
      <c r="D42" s="656"/>
      <c r="E42" s="656"/>
      <c r="F42" s="656"/>
      <c r="G42" s="656"/>
      <c r="H42" s="656"/>
      <c r="I42" s="656"/>
      <c r="J42" s="656"/>
      <c r="N42" s="291"/>
      <c r="Q42" s="519" t="s">
        <v>232</v>
      </c>
      <c r="R42" s="203"/>
      <c r="V42" s="293"/>
      <c r="W42" s="223"/>
      <c r="X42" s="290"/>
    </row>
    <row r="43" spans="1:26" s="153" customFormat="1" ht="18.75" customHeight="1" thickBot="1">
      <c r="C43" s="670" t="s">
        <v>130</v>
      </c>
      <c r="D43" s="671"/>
      <c r="E43" s="671"/>
      <c r="F43" s="671"/>
      <c r="G43" s="672"/>
      <c r="H43" s="294" t="s">
        <v>31</v>
      </c>
      <c r="I43" s="294" t="s">
        <v>38</v>
      </c>
      <c r="J43" s="295" t="s">
        <v>69</v>
      </c>
      <c r="Q43" s="292" t="str">
        <f>G3</f>
        <v>(J13W)</v>
      </c>
      <c r="R43" s="203"/>
      <c r="V43" s="290"/>
      <c r="W43" s="223"/>
      <c r="X43" s="283"/>
    </row>
    <row r="44" spans="1:26" s="153" customFormat="1" ht="18.75" customHeight="1">
      <c r="C44" s="673" t="s">
        <v>281</v>
      </c>
      <c r="D44" s="194" t="s">
        <v>235</v>
      </c>
      <c r="E44" s="297"/>
      <c r="F44" s="297"/>
      <c r="G44" s="297"/>
      <c r="H44" s="297"/>
      <c r="I44" s="297"/>
      <c r="J44" s="298">
        <f>M38</f>
        <v>1349631</v>
      </c>
      <c r="Q44" s="296">
        <f>$J$45</f>
        <v>798000</v>
      </c>
      <c r="R44" s="203"/>
      <c r="V44" s="290"/>
      <c r="W44" s="223"/>
      <c r="X44" s="283"/>
    </row>
    <row r="45" spans="1:26" s="153" customFormat="1" ht="18.75" customHeight="1">
      <c r="C45" s="673"/>
      <c r="D45" s="194" t="s">
        <v>231</v>
      </c>
      <c r="E45" s="297"/>
      <c r="F45" s="297"/>
      <c r="G45" s="297"/>
      <c r="H45" s="300">
        <f>VLOOKUP(【研修申込区分】,【研修申込区分別費用】,6,FALSE)</f>
        <v>798000</v>
      </c>
      <c r="I45" s="301">
        <v>1</v>
      </c>
      <c r="J45" s="302">
        <f>H45</f>
        <v>798000</v>
      </c>
      <c r="Q45" s="299"/>
      <c r="R45" s="203"/>
      <c r="V45" s="290"/>
      <c r="W45" s="223"/>
      <c r="X45" s="223"/>
    </row>
    <row r="46" spans="1:26" s="153" customFormat="1" ht="18.75" customHeight="1" thickBot="1">
      <c r="C46" s="674"/>
      <c r="D46" s="303"/>
      <c r="E46" s="200"/>
      <c r="F46" s="200"/>
      <c r="G46" s="304"/>
      <c r="H46" s="305"/>
      <c r="I46" s="306"/>
      <c r="J46" s="307"/>
      <c r="Q46" s="247"/>
      <c r="R46" s="203"/>
      <c r="V46" s="290"/>
      <c r="W46" s="223"/>
      <c r="X46" s="308"/>
      <c r="Y46" s="309">
        <f>Y48+Y52</f>
        <v>2147631</v>
      </c>
    </row>
    <row r="47" spans="1:26" s="153" customFormat="1" ht="18.75" customHeight="1" thickBot="1">
      <c r="C47" s="634" t="s">
        <v>135</v>
      </c>
      <c r="D47" s="635"/>
      <c r="E47" s="635"/>
      <c r="F47" s="635"/>
      <c r="G47" s="635"/>
      <c r="H47" s="635"/>
      <c r="I47" s="636"/>
      <c r="J47" s="310">
        <f>SUM(J44:J46)</f>
        <v>2147631</v>
      </c>
      <c r="K47" s="311" t="s">
        <v>211</v>
      </c>
      <c r="Q47" s="253"/>
      <c r="R47" s="203"/>
      <c r="V47" s="290"/>
      <c r="W47" s="223"/>
      <c r="X47" s="290"/>
      <c r="Y47" s="312" t="s">
        <v>236</v>
      </c>
      <c r="Z47" s="203"/>
    </row>
    <row r="48" spans="1:26" s="153" customFormat="1" ht="18.75" customHeight="1">
      <c r="Q48" s="253" t="s">
        <v>138</v>
      </c>
      <c r="R48" s="203"/>
      <c r="V48" s="290" t="s">
        <v>224</v>
      </c>
      <c r="W48" s="223"/>
      <c r="X48" s="290"/>
      <c r="Y48" s="287">
        <f>$Q$40</f>
        <v>1349631</v>
      </c>
      <c r="Z48" s="203"/>
    </row>
    <row r="49" spans="1:28" s="153" customFormat="1" ht="18.75" customHeight="1" thickBot="1">
      <c r="B49" s="656" t="s">
        <v>221</v>
      </c>
      <c r="C49" s="656"/>
      <c r="D49" s="656"/>
      <c r="E49" s="656"/>
      <c r="F49" s="656"/>
      <c r="G49" s="656"/>
      <c r="H49" s="656"/>
      <c r="I49" s="656"/>
      <c r="J49" s="656"/>
      <c r="Q49" s="262"/>
      <c r="R49" s="203"/>
      <c r="V49" s="282">
        <f>$Y$48+$Y$52</f>
        <v>2147631</v>
      </c>
      <c r="W49" s="223"/>
      <c r="X49" s="308"/>
      <c r="Y49" s="289" t="str">
        <f>$Q$41</f>
        <v>( 2/3 )</v>
      </c>
      <c r="Z49" s="203"/>
    </row>
    <row r="50" spans="1:28" s="153" customFormat="1" ht="18.75" customHeight="1" thickBot="1">
      <c r="B50" s="656"/>
      <c r="C50" s="656"/>
      <c r="D50" s="656"/>
      <c r="E50" s="656"/>
      <c r="F50" s="656"/>
      <c r="G50" s="656"/>
      <c r="H50" s="656"/>
      <c r="I50" s="656"/>
      <c r="J50" s="656"/>
      <c r="N50" s="313"/>
      <c r="Q50" s="247"/>
      <c r="R50" s="203"/>
      <c r="V50" s="203"/>
      <c r="Y50" s="526" t="s">
        <v>232</v>
      </c>
      <c r="Z50" s="203"/>
    </row>
    <row r="51" spans="1:28" s="153" customFormat="1" ht="18.75" customHeight="1" thickBot="1">
      <c r="C51" s="670" t="s">
        <v>199</v>
      </c>
      <c r="D51" s="671"/>
      <c r="E51" s="671"/>
      <c r="F51" s="671"/>
      <c r="G51" s="672"/>
      <c r="H51" s="294" t="s">
        <v>31</v>
      </c>
      <c r="I51" s="294" t="s">
        <v>38</v>
      </c>
      <c r="J51" s="295" t="s">
        <v>0</v>
      </c>
      <c r="N51" s="199"/>
      <c r="Q51" s="314"/>
      <c r="R51" s="203"/>
      <c r="V51" s="203"/>
      <c r="Y51" s="315" t="str">
        <f>$Q$43</f>
        <v>(J13W)</v>
      </c>
      <c r="Z51" s="203"/>
    </row>
    <row r="52" spans="1:28" s="153" customFormat="1" ht="18.75" customHeight="1" thickBot="1">
      <c r="C52" s="668" t="s">
        <v>191</v>
      </c>
      <c r="D52" s="153" t="s">
        <v>11</v>
      </c>
      <c r="G52" s="316"/>
      <c r="H52" s="317"/>
      <c r="J52" s="318"/>
      <c r="N52" s="199"/>
      <c r="R52" s="203"/>
      <c r="V52" s="203"/>
      <c r="X52" s="203"/>
      <c r="Y52" s="319">
        <f>$Q$44</f>
        <v>798000</v>
      </c>
      <c r="Z52" s="203"/>
    </row>
    <row r="53" spans="1:28" s="153" customFormat="1" ht="18.75" customHeight="1" thickBot="1">
      <c r="C53" s="668"/>
      <c r="E53" s="216" t="s">
        <v>10</v>
      </c>
      <c r="F53" s="217"/>
      <c r="G53" s="320" t="s">
        <v>33</v>
      </c>
      <c r="H53" s="219">
        <f t="shared" ref="H53:I56" si="5">H28</f>
        <v>10600</v>
      </c>
      <c r="I53" s="321">
        <f t="shared" si="5"/>
        <v>1</v>
      </c>
      <c r="J53" s="322">
        <f>H53*I53</f>
        <v>10600</v>
      </c>
      <c r="N53" s="199"/>
      <c r="R53" s="203"/>
      <c r="V53" s="203"/>
      <c r="W53" s="323" t="s">
        <v>225</v>
      </c>
      <c r="X53" s="203"/>
      <c r="Y53" s="203"/>
      <c r="Z53" s="203"/>
    </row>
    <row r="54" spans="1:28" s="153" customFormat="1" ht="18.75" customHeight="1">
      <c r="C54" s="668"/>
      <c r="D54" s="215"/>
      <c r="E54" s="216" t="s">
        <v>34</v>
      </c>
      <c r="F54" s="217"/>
      <c r="G54" s="320" t="s">
        <v>33</v>
      </c>
      <c r="H54" s="219">
        <f t="shared" si="5"/>
        <v>11600</v>
      </c>
      <c r="I54" s="324">
        <f t="shared" si="5"/>
        <v>89</v>
      </c>
      <c r="J54" s="322">
        <f>H54*I54</f>
        <v>1032400</v>
      </c>
      <c r="N54" s="199"/>
      <c r="Q54" s="203"/>
      <c r="R54" s="586"/>
      <c r="S54" s="587"/>
      <c r="T54" s="203"/>
      <c r="U54" s="203"/>
      <c r="V54" s="203"/>
      <c r="W54" s="234" t="s">
        <v>209</v>
      </c>
      <c r="X54" s="203"/>
      <c r="Y54" s="203"/>
      <c r="Z54" s="203"/>
    </row>
    <row r="55" spans="1:28" s="153" customFormat="1" ht="18.75" customHeight="1" thickBot="1">
      <c r="C55" s="668"/>
      <c r="E55" s="211" t="s">
        <v>35</v>
      </c>
      <c r="F55" s="229"/>
      <c r="G55" s="325" t="s">
        <v>29</v>
      </c>
      <c r="H55" s="231">
        <f t="shared" si="5"/>
        <v>14500</v>
      </c>
      <c r="I55" s="326">
        <f t="shared" si="5"/>
        <v>2</v>
      </c>
      <c r="J55" s="327">
        <f>H55*I55</f>
        <v>29000</v>
      </c>
      <c r="N55" s="199"/>
      <c r="Q55" s="203"/>
      <c r="R55" s="586"/>
      <c r="S55" s="588"/>
      <c r="T55" s="203"/>
      <c r="U55" s="203"/>
      <c r="V55" s="203"/>
      <c r="W55" s="328">
        <f>$V$38-$V$49</f>
        <v>-1224871</v>
      </c>
      <c r="X55" s="203"/>
      <c r="Y55" s="203"/>
      <c r="Z55" s="203"/>
    </row>
    <row r="56" spans="1:28" s="153" customFormat="1" ht="18.75" customHeight="1">
      <c r="C56" s="668"/>
      <c r="D56" s="195"/>
      <c r="E56" s="241"/>
      <c r="F56" s="242"/>
      <c r="G56" s="329" t="s">
        <v>36</v>
      </c>
      <c r="H56" s="244">
        <f t="shared" si="5"/>
        <v>3100</v>
      </c>
      <c r="I56" s="330">
        <f t="shared" si="5"/>
        <v>2</v>
      </c>
      <c r="J56" s="331">
        <f>H56*I56</f>
        <v>6200</v>
      </c>
      <c r="N56" s="199"/>
      <c r="Q56" s="203"/>
      <c r="R56" s="586"/>
      <c r="S56" s="587"/>
      <c r="T56" s="203"/>
      <c r="U56" s="203"/>
      <c r="V56" s="203"/>
      <c r="W56" s="222" t="str">
        <f>IF(W55&lt;0,Y56,Y58)</f>
        <v>企業からAOTSへお支払いいただきます</v>
      </c>
      <c r="X56" s="203"/>
      <c r="Y56" s="332" t="s">
        <v>230</v>
      </c>
      <c r="Z56" s="203"/>
    </row>
    <row r="57" spans="1:28" s="153" customFormat="1" ht="18.75" customHeight="1">
      <c r="C57" s="668"/>
      <c r="D57" s="181" t="s">
        <v>262</v>
      </c>
      <c r="E57" s="217"/>
      <c r="F57" s="217"/>
      <c r="G57" s="320"/>
      <c r="H57" s="556" t="s">
        <v>263</v>
      </c>
      <c r="I57" s="324">
        <f>I35</f>
        <v>184</v>
      </c>
      <c r="J57" s="322">
        <f>J35</f>
        <v>23480</v>
      </c>
      <c r="N57" s="199"/>
      <c r="Q57" s="203"/>
      <c r="R57" s="203"/>
      <c r="S57" s="587"/>
      <c r="T57" s="203"/>
      <c r="U57" s="203"/>
      <c r="V57" s="203"/>
      <c r="W57" s="222"/>
      <c r="X57" s="203"/>
      <c r="Y57" s="332"/>
      <c r="Z57" s="203"/>
    </row>
    <row r="58" spans="1:28" s="153" customFormat="1" ht="18.75" customHeight="1" thickBot="1">
      <c r="C58" s="669"/>
      <c r="D58" s="333" t="s">
        <v>32</v>
      </c>
      <c r="E58" s="333"/>
      <c r="F58" s="333"/>
      <c r="G58" s="334" t="s">
        <v>29</v>
      </c>
      <c r="H58" s="335">
        <f>IF(【実地研修中の宿泊】=1,$H$32,0)</f>
        <v>0</v>
      </c>
      <c r="I58" s="336">
        <f>IF(H58=0,0,$I$32)</f>
        <v>0</v>
      </c>
      <c r="J58" s="337">
        <f>H58*I58</f>
        <v>0</v>
      </c>
      <c r="N58" s="199"/>
      <c r="Y58" s="332" t="s">
        <v>226</v>
      </c>
    </row>
    <row r="59" spans="1:28" s="153" customFormat="1" ht="18.75" customHeight="1" thickBot="1">
      <c r="C59" s="634" t="s">
        <v>135</v>
      </c>
      <c r="D59" s="635"/>
      <c r="E59" s="635"/>
      <c r="F59" s="635"/>
      <c r="G59" s="635"/>
      <c r="H59" s="635"/>
      <c r="I59" s="636"/>
      <c r="J59" s="338">
        <f>SUM(J53:J58)</f>
        <v>1101680</v>
      </c>
      <c r="K59" s="311" t="s">
        <v>212</v>
      </c>
      <c r="N59" s="313"/>
      <c r="Q59" s="203"/>
      <c r="R59" s="203"/>
      <c r="S59" s="203"/>
      <c r="T59" s="203"/>
      <c r="U59" s="203"/>
      <c r="V59" s="203"/>
      <c r="W59" s="203"/>
      <c r="X59" s="203"/>
      <c r="Y59" s="203"/>
      <c r="Z59" s="203"/>
    </row>
    <row r="60" spans="1:28" s="153" customFormat="1" ht="16.5" customHeight="1">
      <c r="C60" s="339"/>
      <c r="D60" s="339"/>
      <c r="E60" s="339"/>
      <c r="F60" s="339"/>
      <c r="G60" s="339"/>
      <c r="H60" s="339"/>
      <c r="I60" s="339"/>
      <c r="J60" s="340"/>
      <c r="L60" s="311"/>
      <c r="N60" s="313"/>
    </row>
    <row r="61" spans="1:28" s="153" customFormat="1" ht="16.5" customHeight="1">
      <c r="B61" s="153" t="s">
        <v>273</v>
      </c>
    </row>
    <row r="62" spans="1:28" s="342" customFormat="1" ht="16.5" customHeight="1">
      <c r="A62" s="153"/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341"/>
      <c r="AB62" s="341"/>
    </row>
    <row r="63" spans="1:28" s="342" customFormat="1" ht="17.100000000000001" customHeight="1">
      <c r="A63" s="153"/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203"/>
      <c r="R63" s="203"/>
      <c r="S63" s="203"/>
      <c r="T63" s="203"/>
      <c r="U63" s="203"/>
      <c r="V63" s="203"/>
      <c r="W63" s="203"/>
      <c r="X63" s="153"/>
      <c r="Y63" s="153"/>
      <c r="Z63" s="153"/>
      <c r="AA63" s="343"/>
      <c r="AB63" s="343"/>
    </row>
    <row r="64" spans="1:28" s="344" customFormat="1" ht="17.100000000000001" customHeight="1">
      <c r="A64" s="153"/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203"/>
      <c r="Y64" s="203"/>
      <c r="Z64" s="153"/>
      <c r="AA64" s="343"/>
      <c r="AB64" s="343"/>
    </row>
    <row r="65" spans="1:28" s="341" customFormat="1" ht="15" customHeight="1">
      <c r="A65" s="153"/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203"/>
      <c r="AA65" s="343"/>
      <c r="AB65" s="343"/>
    </row>
    <row r="66" spans="1:28" ht="13.5" customHeight="1">
      <c r="X66" s="153"/>
      <c r="Y66" s="153"/>
      <c r="Z66" s="153"/>
    </row>
    <row r="67" spans="1:28" ht="13.5" customHeight="1">
      <c r="Z67" s="153"/>
    </row>
  </sheetData>
  <sheetProtection sheet="1" formatCells="0"/>
  <mergeCells count="59">
    <mergeCell ref="F9:G9"/>
    <mergeCell ref="F16:G16"/>
    <mergeCell ref="I8:I9"/>
    <mergeCell ref="M17:M18"/>
    <mergeCell ref="N17:N18"/>
    <mergeCell ref="U8:V8"/>
    <mergeCell ref="U15:V15"/>
    <mergeCell ref="U19:V19"/>
    <mergeCell ref="K33:L33"/>
    <mergeCell ref="K34:L34"/>
    <mergeCell ref="J8:L9"/>
    <mergeCell ref="K26:L26"/>
    <mergeCell ref="K27:L27"/>
    <mergeCell ref="M31:N31"/>
    <mergeCell ref="K28:L28"/>
    <mergeCell ref="L17:L18"/>
    <mergeCell ref="K29:L29"/>
    <mergeCell ref="K30:L30"/>
    <mergeCell ref="M38:N38"/>
    <mergeCell ref="M32:N32"/>
    <mergeCell ref="M33:N33"/>
    <mergeCell ref="M26:N26"/>
    <mergeCell ref="M27:N27"/>
    <mergeCell ref="M28:N28"/>
    <mergeCell ref="M29:N29"/>
    <mergeCell ref="M30:N30"/>
    <mergeCell ref="M36:N36"/>
    <mergeCell ref="M34:N34"/>
    <mergeCell ref="M37:N37"/>
    <mergeCell ref="M35:N35"/>
    <mergeCell ref="K37:L37"/>
    <mergeCell ref="K36:L36"/>
    <mergeCell ref="K31:L31"/>
    <mergeCell ref="K32:L32"/>
    <mergeCell ref="C52:C58"/>
    <mergeCell ref="C51:G51"/>
    <mergeCell ref="C44:C46"/>
    <mergeCell ref="C43:G43"/>
    <mergeCell ref="B38:I38"/>
    <mergeCell ref="B41:J42"/>
    <mergeCell ref="B49:J50"/>
    <mergeCell ref="B26:B37"/>
    <mergeCell ref="K35:L35"/>
    <mergeCell ref="M3:N3"/>
    <mergeCell ref="U11:V11"/>
    <mergeCell ref="C59:I59"/>
    <mergeCell ref="C47:I47"/>
    <mergeCell ref="F5:I5"/>
    <mergeCell ref="K24:L24"/>
    <mergeCell ref="M39:N39"/>
    <mergeCell ref="J24:J25"/>
    <mergeCell ref="I24:I25"/>
    <mergeCell ref="B24:G25"/>
    <mergeCell ref="H24:H25"/>
    <mergeCell ref="C27:C34"/>
    <mergeCell ref="K39:L39"/>
    <mergeCell ref="M24:N24"/>
    <mergeCell ref="B22:N23"/>
    <mergeCell ref="K38:L38"/>
  </mergeCells>
  <phoneticPr fontId="2"/>
  <conditionalFormatting sqref="M11 M17">
    <cfRule type="cellIs" dxfId="29" priority="2" stopIfTrue="1" operator="equal">
      <formula>0</formula>
    </cfRule>
  </conditionalFormatting>
  <conditionalFormatting sqref="M26:N26">
    <cfRule type="cellIs" dxfId="28" priority="1" operator="greaterThan">
      <formula>0</formula>
    </cfRule>
  </conditionalFormatting>
  <dataValidations xWindow="403" yWindow="205" count="2">
    <dataValidation imeMode="off" allowBlank="1" showInputMessage="1" showErrorMessage="1" sqref="M9:M10 M14:M16 H16 G15 F12" xr:uid="{00000000-0002-0000-0000-000000000000}"/>
    <dataValidation type="date" imeMode="off" operator="greaterThanOrEqual" allowBlank="1" showErrorMessage="1" sqref="M3" xr:uid="{00000000-0002-0000-0000-000001000000}">
      <formula1>1</formula1>
    </dataValidation>
  </dataValidations>
  <printOptions horizontalCentered="1"/>
  <pageMargins left="0.39370078740157483" right="0.35433070866141736" top="0.47244094488188981" bottom="0.27559055118110237" header="0.27559055118110237" footer="0"/>
  <pageSetup paperSize="8" scale="77" orientation="landscape" r:id="rId1"/>
  <headerFooter alignWithMargins="0">
    <oddHeader>&amp;R費用試算（J13W）：2025年度版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73" r:id="rId4" name="Drop Down 525">
              <controlPr defaultSize="0" autoLine="0" autoPict="0">
                <anchor moveWithCells="1">
                  <from>
                    <xdr:col>4</xdr:col>
                    <xdr:colOff>485775</xdr:colOff>
                    <xdr:row>12</xdr:row>
                    <xdr:rowOff>47625</xdr:rowOff>
                  </from>
                  <to>
                    <xdr:col>8</xdr:col>
                    <xdr:colOff>266700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5" name="Drop Down 526">
              <controlPr defaultSize="0" autoLine="0" autoPict="0">
                <anchor moveWithCells="1">
                  <from>
                    <xdr:col>10</xdr:col>
                    <xdr:colOff>228600</xdr:colOff>
                    <xdr:row>7</xdr:row>
                    <xdr:rowOff>104775</xdr:rowOff>
                  </from>
                  <to>
                    <xdr:col>11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6" name="Drop Down 528">
              <controlPr defaultSize="0" autoLine="0" autoPict="0">
                <anchor moveWithCells="1">
                  <from>
                    <xdr:col>4</xdr:col>
                    <xdr:colOff>504825</xdr:colOff>
                    <xdr:row>6</xdr:row>
                    <xdr:rowOff>19050</xdr:rowOff>
                  </from>
                  <to>
                    <xdr:col>11</xdr:col>
                    <xdr:colOff>714375</xdr:colOff>
                    <xdr:row>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F51"/>
  <sheetViews>
    <sheetView showGridLines="0" topLeftCell="A20" zoomScale="80" zoomScaleNormal="80" workbookViewId="0">
      <selection activeCell="M35" sqref="M35"/>
    </sheetView>
  </sheetViews>
  <sheetFormatPr defaultColWidth="9" defaultRowHeight="13.5" customHeight="1"/>
  <cols>
    <col min="1" max="1" width="5.125" style="153" customWidth="1"/>
    <col min="2" max="2" width="3.5" style="153" customWidth="1"/>
    <col min="3" max="3" width="9.625" style="153" customWidth="1"/>
    <col min="4" max="4" width="13.625" style="153" customWidth="1"/>
    <col min="5" max="5" width="13.625" style="153" bestFit="1" customWidth="1"/>
    <col min="6" max="6" width="7.625" style="153" customWidth="1"/>
    <col min="7" max="7" width="8.875" style="153" customWidth="1"/>
    <col min="8" max="8" width="7.625" style="153" customWidth="1"/>
    <col min="9" max="9" width="8.25" style="153" customWidth="1"/>
    <col min="10" max="10" width="7.625" style="153" customWidth="1"/>
    <col min="11" max="11" width="8.375" style="153" customWidth="1"/>
    <col min="12" max="12" width="7.625" style="153" customWidth="1"/>
    <col min="13" max="13" width="8.375" style="153" customWidth="1"/>
    <col min="14" max="14" width="7.625" style="153" customWidth="1"/>
    <col min="15" max="15" width="8.375" style="153" customWidth="1"/>
    <col min="16" max="16" width="7.625" style="153" customWidth="1"/>
    <col min="17" max="17" width="8.25" style="153" customWidth="1"/>
    <col min="18" max="18" width="7.625" style="153" customWidth="1"/>
    <col min="19" max="19" width="8.25" style="153" customWidth="1"/>
    <col min="20" max="20" width="7.625" style="153" customWidth="1"/>
    <col min="21" max="21" width="8.25" style="153" customWidth="1"/>
    <col min="22" max="22" width="7.625" style="153" customWidth="1"/>
    <col min="23" max="23" width="8.25" style="153" customWidth="1"/>
    <col min="24" max="24" width="7.625" style="153" customWidth="1"/>
    <col min="25" max="25" width="8.25" style="153" customWidth="1"/>
    <col min="26" max="26" width="7.625" style="153" customWidth="1"/>
    <col min="27" max="27" width="8.25" style="153" customWidth="1"/>
    <col min="28" max="28" width="7.625" style="153" customWidth="1"/>
    <col min="29" max="29" width="8.25" style="153" customWidth="1"/>
    <col min="30" max="30" width="7.625" style="153" customWidth="1"/>
    <col min="31" max="31" width="8.125" style="153" customWidth="1"/>
    <col min="32" max="32" width="9.375" style="153" bestFit="1" customWidth="1"/>
    <col min="33" max="16384" width="9" style="153"/>
  </cols>
  <sheetData>
    <row r="1" spans="1:32" ht="21" customHeight="1">
      <c r="A1" s="152" t="s">
        <v>111</v>
      </c>
      <c r="E1" s="345" t="s">
        <v>71</v>
      </c>
      <c r="F1" s="701">
        <f ca="1">J13W費用試算!M3</f>
        <v>45727</v>
      </c>
      <c r="G1" s="701"/>
    </row>
    <row r="2" spans="1:32" ht="21" customHeight="1"/>
    <row r="3" spans="1:32" ht="21" customHeight="1">
      <c r="A3" s="3"/>
      <c r="C3" s="725"/>
      <c r="D3" s="725"/>
      <c r="E3" s="346" t="s">
        <v>53</v>
      </c>
      <c r="F3" s="1" t="str">
        <f>"一般研修"&amp;J13W費用試算!G3</f>
        <v>一般研修(J13W)</v>
      </c>
      <c r="G3" s="1"/>
      <c r="H3" s="1" t="str">
        <f>J13W計算シート!$C$7</f>
        <v>2025/05/08～2025/08/06(91日・TKC)</v>
      </c>
    </row>
    <row r="4" spans="1:32" ht="21" customHeight="1">
      <c r="B4" s="716"/>
      <c r="C4" s="716"/>
      <c r="E4" s="1"/>
      <c r="F4" s="1" t="s">
        <v>70</v>
      </c>
      <c r="G4" s="1"/>
      <c r="H4" s="145" t="str">
        <f>IF(J13W計算シート!$C$13=0,"(0日)",J13W費用試算!$F$14)</f>
        <v>2025/8/7～2025/11/6(92日)</v>
      </c>
    </row>
    <row r="5" spans="1:32" ht="13.5" customHeight="1" thickBot="1"/>
    <row r="6" spans="1:32" ht="21" customHeight="1">
      <c r="E6" s="347"/>
      <c r="F6" s="718" t="str">
        <f>IF(F7="","","1ヶ月目")</f>
        <v>1ヶ月目</v>
      </c>
      <c r="G6" s="717"/>
      <c r="H6" s="711" t="str">
        <f>IF(H7="","","2ヶ月目")</f>
        <v>2ヶ月目</v>
      </c>
      <c r="I6" s="717"/>
      <c r="J6" s="711" t="str">
        <f>IF(J7="","","3ヶ月目")</f>
        <v>3ヶ月目</v>
      </c>
      <c r="K6" s="717"/>
      <c r="L6" s="711" t="str">
        <f>IF(L7="","","4ヶ月目")</f>
        <v>4ヶ月目</v>
      </c>
      <c r="M6" s="717"/>
      <c r="N6" s="711" t="str">
        <f>IF(N7="","","5ヶ月目")</f>
        <v>5ヶ月目</v>
      </c>
      <c r="O6" s="717"/>
      <c r="P6" s="711" t="str">
        <f>IF(P7="","","6ヶ月目")</f>
        <v>6ヶ月目</v>
      </c>
      <c r="Q6" s="717"/>
      <c r="R6" s="711" t="str">
        <f>IF(R7="","","7ヶ月目")</f>
        <v>7ヶ月目</v>
      </c>
      <c r="S6" s="717"/>
      <c r="T6" s="711" t="str">
        <f>IF(T7="","","8ヶ月目")</f>
        <v/>
      </c>
      <c r="U6" s="717"/>
      <c r="V6" s="711" t="str">
        <f>IF(V7="","","9ヶ月目")</f>
        <v/>
      </c>
      <c r="W6" s="717"/>
      <c r="X6" s="711" t="str">
        <f>IF(X7="","","10ヶ月目")</f>
        <v/>
      </c>
      <c r="Y6" s="717"/>
      <c r="Z6" s="711" t="str">
        <f>IF(Z7="","","11ヶ月目")</f>
        <v/>
      </c>
      <c r="AA6" s="717"/>
      <c r="AB6" s="711" t="str">
        <f>IF(AB7="","","12ヶ月目")</f>
        <v/>
      </c>
      <c r="AC6" s="717"/>
      <c r="AD6" s="711" t="str">
        <f>IF(AD7="","","13ヶ月目")</f>
        <v/>
      </c>
      <c r="AE6" s="712"/>
      <c r="AF6" s="707" t="s">
        <v>4</v>
      </c>
    </row>
    <row r="7" spans="1:32" ht="21" customHeight="1">
      <c r="E7" s="348" t="s">
        <v>51</v>
      </c>
      <c r="F7" s="713" t="str">
        <f>IF(F10=0,"",YEAR(J13W計算シート!$R15)&amp;"年"&amp;MONTH(J13W計算シート!$R15)&amp;"月")</f>
        <v>2025年5月</v>
      </c>
      <c r="G7" s="710"/>
      <c r="H7" s="709" t="str">
        <f>IF(H10=0,"",IF(MONTH(J13W計算シート!$R15)=12,YEAR(J13W計算シート!$R16)&amp;"年"&amp;MONTH(J13W計算シート!$R16)&amp;"月",MONTH(J13W計算シート!$R16)&amp;"月"))</f>
        <v>6月</v>
      </c>
      <c r="I7" s="710"/>
      <c r="J7" s="709" t="str">
        <f>IF(J10=0,"",IF(MONTH(J13W計算シート!$R16)=12,YEAR(J13W計算シート!$R17)&amp;"年"&amp;MONTH(J13W計算シート!$R17)&amp;"月",MONTH(J13W計算シート!$R17)&amp;"月"))</f>
        <v>7月</v>
      </c>
      <c r="K7" s="710"/>
      <c r="L7" s="709" t="str">
        <f>IF(L10=0,"",IF(MONTH(J13W計算シート!$R17)=12,YEAR(J13W計算シート!$R18)&amp;"年"&amp;MONTH(J13W計算シート!$R18)&amp;"月",MONTH(J13W計算シート!$R18)&amp;"月"))</f>
        <v>8月</v>
      </c>
      <c r="M7" s="710"/>
      <c r="N7" s="709" t="str">
        <f>IF(N10=0,"",IF(MONTH(J13W計算シート!$R18)=12,YEAR(J13W計算シート!$R19)&amp;"年"&amp;MONTH(J13W計算シート!$R19)&amp;"月",MONTH(J13W計算シート!$R19)&amp;"月"))</f>
        <v>9月</v>
      </c>
      <c r="O7" s="710"/>
      <c r="P7" s="709" t="str">
        <f>IF(P10=0,"",IF(MONTH(J13W計算シート!$R19)=12,YEAR(J13W計算シート!$R20)&amp;"年"&amp;MONTH(J13W計算シート!$R20)&amp;"月",MONTH(J13W計算シート!$R20)&amp;"月"))</f>
        <v>10月</v>
      </c>
      <c r="Q7" s="710"/>
      <c r="R7" s="709" t="str">
        <f>IF(R10=0,"",IF(MONTH(J13W計算シート!$R20)=12,YEAR(J13W計算シート!$R21)&amp;"年"&amp;MONTH(J13W計算シート!$R21)&amp;"月",MONTH(J13W計算シート!$R21)&amp;"月"))</f>
        <v>11月</v>
      </c>
      <c r="S7" s="710"/>
      <c r="T7" s="709" t="str">
        <f>IF(T10=0,"",IF(MONTH(J13W計算シート!$R21)=12,YEAR(J13W計算シート!$R22)&amp;"年"&amp;MONTH(J13W計算シート!$R22)&amp;"月",MONTH(J13W計算シート!$R22)&amp;"月"))</f>
        <v/>
      </c>
      <c r="U7" s="710"/>
      <c r="V7" s="709" t="str">
        <f>IF(V10=0,"",IF(MONTH(J13W計算シート!$R22)=12,YEAR(J13W計算シート!$R23)&amp;"年"&amp;MONTH(J13W計算シート!$R23)&amp;"月",MONTH(J13W計算シート!$R23)&amp;"月"))</f>
        <v/>
      </c>
      <c r="W7" s="710"/>
      <c r="X7" s="709" t="str">
        <f>IF(X10=0,"",IF(MONTH(J13W計算シート!$R23)=12,YEAR(J13W計算シート!$R24)&amp;"年"&amp;MONTH(J13W計算シート!$R24)&amp;"月",MONTH(J13W計算シート!$R24)&amp;"月"))</f>
        <v/>
      </c>
      <c r="Y7" s="710"/>
      <c r="Z7" s="709" t="str">
        <f>IF(Z10=0,"",IF(MONTH(J13W計算シート!$R24)=12,YEAR(J13W計算シート!$R25)&amp;"年"&amp;MONTH(J13W計算シート!$R25)&amp;"月",MONTH(J13W計算シート!$R25)&amp;"月"))</f>
        <v/>
      </c>
      <c r="AA7" s="710"/>
      <c r="AB7" s="709" t="str">
        <f>IF(AB10=0,"",IF(MONTH(J13W計算シート!$R25)=12,YEAR(J13W計算シート!$R26)&amp;"年"&amp;MONTH(J13W計算シート!$R26)&amp;"月",MONTH(J13W計算シート!$R26)&amp;"月"))</f>
        <v/>
      </c>
      <c r="AC7" s="710"/>
      <c r="AD7" s="709" t="str">
        <f>IF(AD10=0,"",IF(MONTH(J13W計算シート!$R26)=12,YEAR(J13W計算シート!$R27)&amp;"年"&amp;MONTH(J13W計算シート!$R27)&amp;"月",MONTH(J13W計算シート!$R27)&amp;"月"))</f>
        <v/>
      </c>
      <c r="AE7" s="710"/>
      <c r="AF7" s="708"/>
    </row>
    <row r="8" spans="1:32" ht="21" customHeight="1">
      <c r="E8" s="349" t="s">
        <v>5</v>
      </c>
      <c r="F8" s="350">
        <f>J13W計算シート!V15</f>
        <v>25</v>
      </c>
      <c r="G8" s="351" t="s">
        <v>49</v>
      </c>
      <c r="H8" s="352">
        <f>J13W計算シート!V16</f>
        <v>30</v>
      </c>
      <c r="I8" s="351" t="s">
        <v>49</v>
      </c>
      <c r="J8" s="352">
        <f>J13W計算シート!V17</f>
        <v>31</v>
      </c>
      <c r="K8" s="351" t="s">
        <v>49</v>
      </c>
      <c r="L8" s="352">
        <f>J13W計算シート!V18</f>
        <v>6</v>
      </c>
      <c r="M8" s="351" t="s">
        <v>49</v>
      </c>
      <c r="N8" s="352">
        <f>J13W計算シート!V19</f>
        <v>0</v>
      </c>
      <c r="O8" s="351" t="s">
        <v>49</v>
      </c>
      <c r="P8" s="352">
        <f>J13W計算シート!V20</f>
        <v>0</v>
      </c>
      <c r="Q8" s="351" t="s">
        <v>49</v>
      </c>
      <c r="R8" s="352">
        <f>J13W計算シート!V21</f>
        <v>0</v>
      </c>
      <c r="S8" s="351" t="s">
        <v>49</v>
      </c>
      <c r="T8" s="352">
        <f>J13W計算シート!V22</f>
        <v>0</v>
      </c>
      <c r="U8" s="351" t="s">
        <v>49</v>
      </c>
      <c r="V8" s="352">
        <f>J13W計算シート!V23</f>
        <v>0</v>
      </c>
      <c r="W8" s="351" t="s">
        <v>49</v>
      </c>
      <c r="X8" s="352">
        <f>J13W計算シート!V24</f>
        <v>0</v>
      </c>
      <c r="Y8" s="351" t="s">
        <v>49</v>
      </c>
      <c r="Z8" s="352">
        <f>J13W計算シート!V25</f>
        <v>0</v>
      </c>
      <c r="AA8" s="351" t="s">
        <v>49</v>
      </c>
      <c r="AB8" s="352">
        <f>J13W計算シート!V26</f>
        <v>0</v>
      </c>
      <c r="AC8" s="351" t="s">
        <v>49</v>
      </c>
      <c r="AD8" s="352">
        <f>J13W計算シート!V27</f>
        <v>0</v>
      </c>
      <c r="AE8" s="26" t="s">
        <v>49</v>
      </c>
      <c r="AF8" s="353">
        <f>SUM(F8:AE8)</f>
        <v>92</v>
      </c>
    </row>
    <row r="9" spans="1:32" ht="21" customHeight="1">
      <c r="E9" s="354" t="s">
        <v>6</v>
      </c>
      <c r="F9" s="355">
        <f>J13W計算シート!W15</f>
        <v>0</v>
      </c>
      <c r="G9" s="356" t="s">
        <v>49</v>
      </c>
      <c r="H9" s="357">
        <f>J13W計算シート!W16</f>
        <v>0</v>
      </c>
      <c r="I9" s="356" t="s">
        <v>49</v>
      </c>
      <c r="J9" s="357">
        <f>J13W計算シート!W17</f>
        <v>0</v>
      </c>
      <c r="K9" s="356" t="s">
        <v>49</v>
      </c>
      <c r="L9" s="357">
        <f>J13W計算シート!W18</f>
        <v>25</v>
      </c>
      <c r="M9" s="356" t="s">
        <v>49</v>
      </c>
      <c r="N9" s="357">
        <f>J13W計算シート!W19</f>
        <v>30</v>
      </c>
      <c r="O9" s="356" t="s">
        <v>49</v>
      </c>
      <c r="P9" s="357">
        <f>J13W計算シート!W20</f>
        <v>31</v>
      </c>
      <c r="Q9" s="356" t="s">
        <v>49</v>
      </c>
      <c r="R9" s="357">
        <f>J13W計算シート!W21</f>
        <v>6</v>
      </c>
      <c r="S9" s="356" t="s">
        <v>49</v>
      </c>
      <c r="T9" s="357">
        <f>J13W計算シート!W22</f>
        <v>0</v>
      </c>
      <c r="U9" s="356" t="s">
        <v>49</v>
      </c>
      <c r="V9" s="357">
        <f>J13W計算シート!W23</f>
        <v>0</v>
      </c>
      <c r="W9" s="356" t="s">
        <v>49</v>
      </c>
      <c r="X9" s="357">
        <f>J13W計算シート!W24</f>
        <v>0</v>
      </c>
      <c r="Y9" s="356" t="s">
        <v>49</v>
      </c>
      <c r="Z9" s="357">
        <f>J13W計算シート!W25</f>
        <v>0</v>
      </c>
      <c r="AA9" s="356" t="s">
        <v>49</v>
      </c>
      <c r="AB9" s="357">
        <f>J13W計算シート!W26</f>
        <v>0</v>
      </c>
      <c r="AC9" s="356" t="s">
        <v>49</v>
      </c>
      <c r="AD9" s="357">
        <f>J13W計算シート!W27</f>
        <v>0</v>
      </c>
      <c r="AE9" s="358" t="s">
        <v>49</v>
      </c>
      <c r="AF9" s="359">
        <f>SUM(F9:AE9)</f>
        <v>92</v>
      </c>
    </row>
    <row r="10" spans="1:32" ht="21" customHeight="1" thickBot="1">
      <c r="E10" s="360" t="s">
        <v>25</v>
      </c>
      <c r="F10" s="361">
        <f>J13W計算シート!U15</f>
        <v>25</v>
      </c>
      <c r="G10" s="362" t="s">
        <v>49</v>
      </c>
      <c r="H10" s="363">
        <f>J13W計算シート!U16</f>
        <v>30</v>
      </c>
      <c r="I10" s="362" t="s">
        <v>49</v>
      </c>
      <c r="J10" s="363">
        <f>J13W計算シート!U17</f>
        <v>31</v>
      </c>
      <c r="K10" s="362" t="s">
        <v>49</v>
      </c>
      <c r="L10" s="363">
        <f>J13W計算シート!U18</f>
        <v>31</v>
      </c>
      <c r="M10" s="362" t="s">
        <v>49</v>
      </c>
      <c r="N10" s="363">
        <f>J13W計算シート!U19</f>
        <v>30</v>
      </c>
      <c r="O10" s="362" t="s">
        <v>49</v>
      </c>
      <c r="P10" s="363">
        <f>J13W計算シート!U20</f>
        <v>31</v>
      </c>
      <c r="Q10" s="362" t="s">
        <v>49</v>
      </c>
      <c r="R10" s="363">
        <f>J13W計算シート!U21</f>
        <v>6</v>
      </c>
      <c r="S10" s="362" t="s">
        <v>49</v>
      </c>
      <c r="T10" s="363">
        <f>J13W計算シート!U22</f>
        <v>0</v>
      </c>
      <c r="U10" s="362" t="s">
        <v>49</v>
      </c>
      <c r="V10" s="363">
        <f>J13W計算シート!U23</f>
        <v>0</v>
      </c>
      <c r="W10" s="362" t="s">
        <v>49</v>
      </c>
      <c r="X10" s="363">
        <f>J13W計算シート!U24</f>
        <v>0</v>
      </c>
      <c r="Y10" s="362" t="s">
        <v>49</v>
      </c>
      <c r="Z10" s="363">
        <f>J13W計算シート!U25</f>
        <v>0</v>
      </c>
      <c r="AA10" s="362" t="s">
        <v>49</v>
      </c>
      <c r="AB10" s="363">
        <f>J13W計算シート!U26</f>
        <v>0</v>
      </c>
      <c r="AC10" s="362" t="s">
        <v>49</v>
      </c>
      <c r="AD10" s="363">
        <f>J13W計算シート!U27</f>
        <v>0</v>
      </c>
      <c r="AE10" s="364" t="s">
        <v>49</v>
      </c>
      <c r="AF10" s="365">
        <f>SUM(F10:AE10)</f>
        <v>184</v>
      </c>
    </row>
    <row r="11" spans="1:32" ht="20.25" customHeight="1" thickBot="1">
      <c r="A11" s="714" t="s">
        <v>1</v>
      </c>
      <c r="B11" s="715"/>
      <c r="C11" s="715"/>
      <c r="D11" s="715"/>
      <c r="E11" s="366" t="s">
        <v>4</v>
      </c>
      <c r="F11" s="367" t="s">
        <v>200</v>
      </c>
      <c r="G11" s="368" t="s">
        <v>30</v>
      </c>
      <c r="H11" s="369" t="s">
        <v>200</v>
      </c>
      <c r="I11" s="368" t="s">
        <v>30</v>
      </c>
      <c r="J11" s="369" t="s">
        <v>200</v>
      </c>
      <c r="K11" s="368" t="s">
        <v>30</v>
      </c>
      <c r="L11" s="369" t="s">
        <v>200</v>
      </c>
      <c r="M11" s="368" t="s">
        <v>30</v>
      </c>
      <c r="N11" s="369" t="s">
        <v>200</v>
      </c>
      <c r="O11" s="368" t="s">
        <v>30</v>
      </c>
      <c r="P11" s="370" t="s">
        <v>200</v>
      </c>
      <c r="Q11" s="368" t="s">
        <v>30</v>
      </c>
      <c r="R11" s="370" t="s">
        <v>200</v>
      </c>
      <c r="S11" s="368" t="s">
        <v>30</v>
      </c>
      <c r="T11" s="370" t="s">
        <v>200</v>
      </c>
      <c r="U11" s="368" t="s">
        <v>30</v>
      </c>
      <c r="V11" s="370" t="s">
        <v>200</v>
      </c>
      <c r="W11" s="368" t="s">
        <v>30</v>
      </c>
      <c r="X11" s="370" t="s">
        <v>200</v>
      </c>
      <c r="Y11" s="368" t="s">
        <v>30</v>
      </c>
      <c r="Z11" s="370" t="s">
        <v>200</v>
      </c>
      <c r="AA11" s="368" t="s">
        <v>30</v>
      </c>
      <c r="AB11" s="370" t="s">
        <v>200</v>
      </c>
      <c r="AC11" s="368" t="s">
        <v>30</v>
      </c>
      <c r="AD11" s="370" t="s">
        <v>200</v>
      </c>
      <c r="AE11" s="368" t="s">
        <v>30</v>
      </c>
      <c r="AF11" s="371" t="s">
        <v>109</v>
      </c>
    </row>
    <row r="12" spans="1:32" ht="22.5" customHeight="1">
      <c r="A12" s="702" t="s">
        <v>227</v>
      </c>
      <c r="B12" s="372" t="s">
        <v>11</v>
      </c>
      <c r="C12" s="373"/>
      <c r="D12" s="374"/>
      <c r="E12" s="375"/>
      <c r="F12" s="376"/>
      <c r="G12" s="377"/>
      <c r="H12" s="378"/>
      <c r="I12" s="377"/>
      <c r="J12" s="378"/>
      <c r="K12" s="377"/>
      <c r="L12" s="378"/>
      <c r="M12" s="377"/>
      <c r="N12" s="378"/>
      <c r="O12" s="377"/>
      <c r="P12" s="378"/>
      <c r="Q12" s="377"/>
      <c r="R12" s="378"/>
      <c r="S12" s="377"/>
      <c r="T12" s="378"/>
      <c r="U12" s="377"/>
      <c r="V12" s="378"/>
      <c r="W12" s="377"/>
      <c r="X12" s="378"/>
      <c r="Y12" s="377"/>
      <c r="Z12" s="378"/>
      <c r="AA12" s="377"/>
      <c r="AB12" s="378"/>
      <c r="AC12" s="377"/>
      <c r="AD12" s="378"/>
      <c r="AE12" s="379"/>
      <c r="AF12" s="380"/>
    </row>
    <row r="13" spans="1:32" ht="30" customHeight="1">
      <c r="A13" s="703"/>
      <c r="B13" s="381"/>
      <c r="C13" s="3" t="s">
        <v>45</v>
      </c>
      <c r="D13" s="382" t="s">
        <v>64</v>
      </c>
      <c r="E13" s="383">
        <f>J13W費用試算!$J$53</f>
        <v>10600</v>
      </c>
      <c r="F13" s="384">
        <v>1</v>
      </c>
      <c r="G13" s="385">
        <f>J13W費用試算!$H$53</f>
        <v>10600</v>
      </c>
      <c r="H13" s="386"/>
      <c r="I13" s="385"/>
      <c r="J13" s="386"/>
      <c r="K13" s="385"/>
      <c r="L13" s="386"/>
      <c r="M13" s="385"/>
      <c r="N13" s="386"/>
      <c r="O13" s="385"/>
      <c r="P13" s="386"/>
      <c r="Q13" s="385"/>
      <c r="R13" s="386"/>
      <c r="S13" s="385"/>
      <c r="T13" s="386"/>
      <c r="U13" s="385"/>
      <c r="V13" s="386"/>
      <c r="W13" s="385"/>
      <c r="X13" s="386"/>
      <c r="Y13" s="385"/>
      <c r="Z13" s="386"/>
      <c r="AA13" s="385"/>
      <c r="AB13" s="386"/>
      <c r="AC13" s="385"/>
      <c r="AD13" s="387"/>
      <c r="AE13" s="388"/>
      <c r="AF13" s="389">
        <f ca="1">SUMIF($F$11:AE13,"金額",F13:AE13)</f>
        <v>10600</v>
      </c>
    </row>
    <row r="14" spans="1:32" ht="30" customHeight="1">
      <c r="A14" s="703"/>
      <c r="B14" s="381"/>
      <c r="C14" s="390" t="s">
        <v>50</v>
      </c>
      <c r="D14" s="391" t="s">
        <v>65</v>
      </c>
      <c r="E14" s="392">
        <f>J13W費用試算!$J$54</f>
        <v>1032400</v>
      </c>
      <c r="F14" s="393">
        <f>IF(F6="","",F8-F13-F15)</f>
        <v>24</v>
      </c>
      <c r="G14" s="394">
        <f>IF(F6="","",J13W費用試算!$H$54*F14)</f>
        <v>278400</v>
      </c>
      <c r="H14" s="393">
        <f t="shared" ref="H14" si="0">IF(H6="","",H8-H13-H15)</f>
        <v>30</v>
      </c>
      <c r="I14" s="394">
        <f>IF(H6="","",J13W費用試算!$H$54*H14)</f>
        <v>348000</v>
      </c>
      <c r="J14" s="393">
        <f t="shared" ref="J14" si="1">IF(J6="","",J8-J13-J15)</f>
        <v>29</v>
      </c>
      <c r="K14" s="394">
        <f>IF(J6="","",J13W費用試算!$H$54*J14)</f>
        <v>336400</v>
      </c>
      <c r="L14" s="393">
        <f t="shared" ref="L14" si="2">IF(L6="","",L8-L13-L15)</f>
        <v>6</v>
      </c>
      <c r="M14" s="394">
        <f>IF(L6="","",J13W費用試算!$H$54*L14)</f>
        <v>69600</v>
      </c>
      <c r="N14" s="393">
        <f t="shared" ref="N14" si="3">IF(N6="","",N8-N13-N15)</f>
        <v>0</v>
      </c>
      <c r="O14" s="394">
        <f>IF(N6="","",J13W費用試算!$H$54*N14)</f>
        <v>0</v>
      </c>
      <c r="P14" s="393">
        <f t="shared" ref="P14" si="4">IF(P6="","",P8-P13-P15)</f>
        <v>0</v>
      </c>
      <c r="Q14" s="394">
        <f>IF(P6="","",J13W費用試算!$H$54*P14)</f>
        <v>0</v>
      </c>
      <c r="R14" s="393">
        <f t="shared" ref="R14" si="5">IF(R6="","",R8-R13-R15)</f>
        <v>0</v>
      </c>
      <c r="S14" s="394">
        <f>IF(R6="","",J13W費用試算!$H$54*R14)</f>
        <v>0</v>
      </c>
      <c r="T14" s="393" t="str">
        <f t="shared" ref="T14" si="6">IF(T6="","",T8-T13-T15)</f>
        <v/>
      </c>
      <c r="U14" s="394" t="str">
        <f>IF(T6="","",J13W費用試算!$H$54*T14)</f>
        <v/>
      </c>
      <c r="V14" s="393" t="str">
        <f t="shared" ref="V14" si="7">IF(V6="","",V8-V13-V15)</f>
        <v/>
      </c>
      <c r="W14" s="394" t="str">
        <f>IF(V6="","",J13W費用試算!$H$54*V14)</f>
        <v/>
      </c>
      <c r="X14" s="393" t="str">
        <f t="shared" ref="X14" si="8">IF(X6="","",X8-X13-X15)</f>
        <v/>
      </c>
      <c r="Y14" s="394" t="str">
        <f>IF(X6="","",J13W費用試算!$H$54*X14)</f>
        <v/>
      </c>
      <c r="Z14" s="393" t="str">
        <f t="shared" ref="Z14" si="9">IF(Z6="","",Z8-Z13-Z15)</f>
        <v/>
      </c>
      <c r="AA14" s="394" t="str">
        <f>IF(Z6="","",J13W費用試算!$H$54*Z14)</f>
        <v/>
      </c>
      <c r="AB14" s="393" t="str">
        <f t="shared" ref="AB14" si="10">IF(AB6="","",AB8-AB13-AB15)</f>
        <v/>
      </c>
      <c r="AC14" s="394" t="str">
        <f>IF(AB6="","",J13W費用試算!$H$54*AB14)</f>
        <v/>
      </c>
      <c r="AD14" s="393" t="str">
        <f t="shared" ref="AD14" si="11">IF(AD6="","",AD8-AD13-AD15)</f>
        <v/>
      </c>
      <c r="AE14" s="394" t="str">
        <f>IF(AD6="","",J13W費用試算!$H$54*AD14)</f>
        <v/>
      </c>
      <c r="AF14" s="395">
        <f ca="1">SUMIF($F$11:AE14,"金額",F14:AE14)</f>
        <v>1032400</v>
      </c>
    </row>
    <row r="15" spans="1:32" ht="22.5" customHeight="1">
      <c r="A15" s="703"/>
      <c r="B15" s="372"/>
      <c r="C15" s="396" t="s">
        <v>108</v>
      </c>
      <c r="D15" s="397" t="s">
        <v>29</v>
      </c>
      <c r="E15" s="383">
        <f>J13W費用試算!$J$55</f>
        <v>29000</v>
      </c>
      <c r="F15" s="398">
        <f>IF(F6=J13W計算シート!$P$32,VLOOKUP(F6,【研修旅行】,2,0),IF(F6=J13W計算シート!$P$33,VLOOKUP(F6,【研修旅行】,2,0),0))</f>
        <v>0</v>
      </c>
      <c r="G15" s="385">
        <f>IF(F15="","",(F15*J13W費用試算!$H$30))</f>
        <v>0</v>
      </c>
      <c r="H15" s="386">
        <f>IF(H6=J13W計算シート!$P$32,VLOOKUP(H6,【研修旅行】,2,0),IF(H6=J13W計算シート!$P$33,VLOOKUP(H6,【研修旅行】,2,0),0))</f>
        <v>0</v>
      </c>
      <c r="I15" s="385">
        <f>IF(H15="","",(H15*J13W費用試算!$H$30))</f>
        <v>0</v>
      </c>
      <c r="J15" s="386">
        <f>IF(J6=J13W計算シート!$P$32,VLOOKUP(J6,【研修旅行】,2,0),IF(J6=J13W計算シート!$P$33,VLOOKUP(J6,【研修旅行】,2,0),0))</f>
        <v>2</v>
      </c>
      <c r="K15" s="385">
        <f>IF(J15="","",(J15*J13W費用試算!$H$30))</f>
        <v>29000</v>
      </c>
      <c r="L15" s="386">
        <f>IF(L6=J13W計算シート!$P$32,VLOOKUP(L6,【研修旅行】,2,0),IF(L6=J13W計算シート!$P$33,VLOOKUP(L6,【研修旅行】,2,0),0))</f>
        <v>0</v>
      </c>
      <c r="M15" s="385">
        <f>IF(L15="","",(L15*J13W費用試算!$H$30))</f>
        <v>0</v>
      </c>
      <c r="N15" s="386">
        <f>IF(N6=J13W計算シート!$P$32,VLOOKUP(N6,【研修旅行】,2,0),IF(N6=J13W計算シート!$P$33,VLOOKUP(N6,【研修旅行】,2,0),0))</f>
        <v>0</v>
      </c>
      <c r="O15" s="385">
        <f>IF(N15="","",(N15*J13W費用試算!$H$30))</f>
        <v>0</v>
      </c>
      <c r="P15" s="386">
        <f>IF(P6=J13W計算シート!$P$32,VLOOKUP(P6,【研修旅行】,2,0),IF(P6=J13W計算シート!$P$33,VLOOKUP(P6,【研修旅行】,2,0),0))</f>
        <v>0</v>
      </c>
      <c r="Q15" s="385">
        <f>IF(P15="","",(P15*J13W費用試算!$H$30))</f>
        <v>0</v>
      </c>
      <c r="R15" s="386">
        <f>IF(R6=J13W計算シート!$P$32,VLOOKUP(R6,【研修旅行】,2,0),IF(R6=J13W計算シート!$P$33,VLOOKUP(R6,【研修旅行】,2,0),0))</f>
        <v>0</v>
      </c>
      <c r="S15" s="385">
        <f>IF(R15="","",(R15*J13W費用試算!$H$30))</f>
        <v>0</v>
      </c>
      <c r="T15" s="386" t="str">
        <f>IF(T6=J13W計算シート!$P$32,VLOOKUP(T6,【研修旅行】,2,0),IF(T6=J13W計算シート!$P$33,VLOOKUP(T6,【研修旅行】,2,0),0))</f>
        <v/>
      </c>
      <c r="U15" s="385" t="str">
        <f>IF(T15="","",(T15*J13W費用試算!$H$30))</f>
        <v/>
      </c>
      <c r="V15" s="386" t="str">
        <f>IF(V6=J13W計算シート!$P$32,VLOOKUP(V6,【研修旅行】,2,0),IF(V6=J13W計算シート!$P$33,VLOOKUP(V6,【研修旅行】,2,0),0))</f>
        <v/>
      </c>
      <c r="W15" s="385" t="str">
        <f>IF(V15="","",(V15*J13W費用試算!$H$30))</f>
        <v/>
      </c>
      <c r="X15" s="386" t="str">
        <f>IF(X6=J13W計算シート!$P$32,VLOOKUP(X6,【研修旅行】,2,0),IF(X6=J13W計算シート!$P$33,VLOOKUP(X6,【研修旅行】,2,0),0))</f>
        <v/>
      </c>
      <c r="Y15" s="385" t="str">
        <f>IF(X15="","",(X15*J13W費用試算!$H$30))</f>
        <v/>
      </c>
      <c r="Z15" s="386" t="str">
        <f>IF(Z6=J13W計算シート!$P$32,VLOOKUP(Z6,【研修旅行】,2,0),IF(Z6=J13W計算シート!$P$33,VLOOKUP(Z6,【研修旅行】,2,0),0))</f>
        <v/>
      </c>
      <c r="AA15" s="385" t="str">
        <f>IF(Z15="","",(Z15*J13W費用試算!$H$30))</f>
        <v/>
      </c>
      <c r="AB15" s="386" t="str">
        <f>IF(AB6=J13W計算シート!$P$32,VLOOKUP(AB6,【研修旅行】,2,0),IF(AB6=J13W計算シート!$P$33,VLOOKUP(AB6,【研修旅行】,2,0),0))</f>
        <v/>
      </c>
      <c r="AC15" s="385" t="str">
        <f>IF(AB15="","",(AB15*J13W費用試算!$H$30))</f>
        <v/>
      </c>
      <c r="AD15" s="386" t="str">
        <f>IF(AD6=J13W計算シート!$P$32,VLOOKUP(AD6,【研修旅行】,2,0),IF(AD6=J13W計算シート!$P$33,VLOOKUP(AD6,【研修旅行】,2,0),0))</f>
        <v/>
      </c>
      <c r="AE15" s="385" t="str">
        <f>IF(AD15="","",(AD15*J13W費用試算!$H$30))</f>
        <v/>
      </c>
      <c r="AF15" s="389">
        <f ca="1">SUMIF($F$11:AE15,"金額",F15:AE15)</f>
        <v>29000</v>
      </c>
    </row>
    <row r="16" spans="1:32" ht="22.5" customHeight="1">
      <c r="A16" s="703"/>
      <c r="B16" s="372"/>
      <c r="C16" s="215"/>
      <c r="D16" s="565" t="s">
        <v>42</v>
      </c>
      <c r="E16" s="392">
        <f>J13W費用試算!$J$56</f>
        <v>6200</v>
      </c>
      <c r="F16" s="400">
        <f t="shared" ref="F16" si="12">F15</f>
        <v>0</v>
      </c>
      <c r="G16" s="394">
        <f>IF(F16="","",(F16*J13W費用試算!$H$31))</f>
        <v>0</v>
      </c>
      <c r="H16" s="401">
        <f t="shared" ref="H16" si="13">H15</f>
        <v>0</v>
      </c>
      <c r="I16" s="394">
        <f>IF(H16="","",(H16*J13W費用試算!$H$31))</f>
        <v>0</v>
      </c>
      <c r="J16" s="401">
        <f t="shared" ref="J16" si="14">J15</f>
        <v>2</v>
      </c>
      <c r="K16" s="394">
        <f>IF(J16="","",(J16*J13W費用試算!$H$31))</f>
        <v>6200</v>
      </c>
      <c r="L16" s="401">
        <f t="shared" ref="L16" si="15">L15</f>
        <v>0</v>
      </c>
      <c r="M16" s="394">
        <f>IF(L16="","",(L16*J13W費用試算!$H$31))</f>
        <v>0</v>
      </c>
      <c r="N16" s="401">
        <f t="shared" ref="N16" si="16">N15</f>
        <v>0</v>
      </c>
      <c r="O16" s="394">
        <f>IF(N16="","",(N16*J13W費用試算!$H$31))</f>
        <v>0</v>
      </c>
      <c r="P16" s="401">
        <f t="shared" ref="P16" si="17">P15</f>
        <v>0</v>
      </c>
      <c r="Q16" s="394">
        <f>IF(P16="","",(P16*J13W費用試算!$H$31))</f>
        <v>0</v>
      </c>
      <c r="R16" s="401">
        <f t="shared" ref="R16" si="18">R15</f>
        <v>0</v>
      </c>
      <c r="S16" s="394">
        <f>IF(R16="","",(R16*J13W費用試算!$H$31))</f>
        <v>0</v>
      </c>
      <c r="T16" s="401" t="str">
        <f t="shared" ref="T16" si="19">T15</f>
        <v/>
      </c>
      <c r="U16" s="394" t="str">
        <f>IF(T16="","",(T16*J13W費用試算!$H$31))</f>
        <v/>
      </c>
      <c r="V16" s="401" t="str">
        <f t="shared" ref="V16" si="20">V15</f>
        <v/>
      </c>
      <c r="W16" s="394" t="str">
        <f>IF(V16="","",(V16*J13W費用試算!$H$31))</f>
        <v/>
      </c>
      <c r="X16" s="401" t="str">
        <f t="shared" ref="X16" si="21">X15</f>
        <v/>
      </c>
      <c r="Y16" s="394" t="str">
        <f>IF(X16="","",(X16*J13W費用試算!$H$31))</f>
        <v/>
      </c>
      <c r="Z16" s="401" t="str">
        <f t="shared" ref="Z16" si="22">Z15</f>
        <v/>
      </c>
      <c r="AA16" s="394" t="str">
        <f>IF(Z16="","",(Z16*J13W費用試算!$H$31))</f>
        <v/>
      </c>
      <c r="AB16" s="401" t="str">
        <f t="shared" ref="AB16" si="23">AB15</f>
        <v/>
      </c>
      <c r="AC16" s="394" t="str">
        <f>IF(AB16="","",(AB16*J13W費用試算!$H$31))</f>
        <v/>
      </c>
      <c r="AD16" s="401" t="str">
        <f t="shared" ref="AD16" si="24">AD15</f>
        <v/>
      </c>
      <c r="AE16" s="394" t="str">
        <f>IF(AD16="","",(AD16*J13W費用試算!$H$31))</f>
        <v/>
      </c>
      <c r="AF16" s="395">
        <f ca="1">SUMIF($F$11:AE16,"金額",F16:AE16)</f>
        <v>6200</v>
      </c>
    </row>
    <row r="17" spans="1:32" ht="22.5" customHeight="1">
      <c r="A17" s="703"/>
      <c r="B17" s="567" t="s">
        <v>270</v>
      </c>
      <c r="C17" s="182"/>
      <c r="D17" s="568"/>
      <c r="E17" s="564">
        <f>J13W費用試算!$J$57</f>
        <v>23480</v>
      </c>
      <c r="F17" s="569"/>
      <c r="G17" s="570" t="str">
        <f>IF(AND(F10&gt;0,SUM($F$10:G10)=$AF$10),J13W費用試算!$J$57,"")</f>
        <v/>
      </c>
      <c r="H17" s="571"/>
      <c r="I17" s="570" t="str">
        <f>IF(AND(H10&gt;0,SUM($F$10:I10)=$AF$10),J13W費用試算!$J$57,"")</f>
        <v/>
      </c>
      <c r="J17" s="571"/>
      <c r="K17" s="570" t="str">
        <f>IF(AND(J10&gt;0,SUM($F$10:K10)=$AF$10),J13W費用試算!$J$57,"")</f>
        <v/>
      </c>
      <c r="L17" s="571"/>
      <c r="M17" s="570" t="str">
        <f>IF(AND(L10&gt;0,SUM($F$10:M10)=$AF$10),J13W費用試算!$J$57,"")</f>
        <v/>
      </c>
      <c r="N17" s="571"/>
      <c r="O17" s="570" t="str">
        <f>IF(AND(N10&gt;0,SUM($F$10:O10)=$AF$10),J13W費用試算!$J$57,"")</f>
        <v/>
      </c>
      <c r="P17" s="571"/>
      <c r="Q17" s="570" t="str">
        <f>IF(AND(P10&gt;0,SUM($F$10:Q10)=$AF$10),J13W費用試算!$J$57,"")</f>
        <v/>
      </c>
      <c r="R17" s="571"/>
      <c r="S17" s="570">
        <f>IF(AND(R10&gt;0,SUM($F$10:S10)=$AF$10),J13W費用試算!$J$57,"")</f>
        <v>23480</v>
      </c>
      <c r="T17" s="571"/>
      <c r="U17" s="570" t="str">
        <f>IF(AND(T10&gt;0,SUM($F$10:U10)=$AF$10),J13W費用試算!$J$57,"")</f>
        <v/>
      </c>
      <c r="V17" s="571"/>
      <c r="W17" s="570" t="str">
        <f>IF(AND(V10&gt;0,SUM($F$10:W10)=$AF$10),J13W費用試算!$J$57,"")</f>
        <v/>
      </c>
      <c r="X17" s="571"/>
      <c r="Y17" s="570" t="str">
        <f>IF(AND(X10&gt;0,SUM($F$10:Y10)=$AF$10),J13W費用試算!$J$57,"")</f>
        <v/>
      </c>
      <c r="Z17" s="571"/>
      <c r="AA17" s="570" t="str">
        <f>IF(AND(Z10&gt;0,SUM($F$10:AA10)=$AF$10),J13W費用試算!$J$57,"")</f>
        <v/>
      </c>
      <c r="AB17" s="571"/>
      <c r="AC17" s="570" t="str">
        <f>IF(AND(AB10&gt;0,SUM($F$10:AC10)=$AF$10),J13W費用試算!$J$57,"")</f>
        <v/>
      </c>
      <c r="AD17" s="571"/>
      <c r="AE17" s="572" t="str">
        <f>IF(AND(AD10&gt;0,SUM($F$10:AE10)=$AF$10),J13W費用試算!$J$57,"")</f>
        <v/>
      </c>
      <c r="AF17" s="563">
        <f ca="1">SUMIF($F$11:AE17,"金額",F17:AE17)</f>
        <v>23480</v>
      </c>
    </row>
    <row r="18" spans="1:32" ht="30" customHeight="1">
      <c r="A18" s="703"/>
      <c r="B18" s="6" t="s">
        <v>32</v>
      </c>
      <c r="C18" s="135"/>
      <c r="D18" s="566" t="str">
        <f>IF(【実地研修中の宿泊】=1,"宿舎費+食費
　(朝･夕食費)","宿舎費")</f>
        <v>宿舎費</v>
      </c>
      <c r="E18" s="402">
        <f>J13W費用試算!$J$58</f>
        <v>0</v>
      </c>
      <c r="F18" s="403">
        <f>IF(【実地研修中の宿泊】=1,F9,0)</f>
        <v>0</v>
      </c>
      <c r="G18" s="404">
        <f>IF(【実地研修中の宿泊】=1,J13W費用試算!$H$32*F18, 0)</f>
        <v>0</v>
      </c>
      <c r="H18" s="403">
        <f>IF(【実地研修中の宿泊】=1,H9,0)</f>
        <v>0</v>
      </c>
      <c r="I18" s="404">
        <f>IF(【実地研修中の宿泊】=1,J13W費用試算!$H$32*H18, 0)</f>
        <v>0</v>
      </c>
      <c r="J18" s="403">
        <f>IF(【実地研修中の宿泊】=1,J9,0)</f>
        <v>0</v>
      </c>
      <c r="K18" s="404">
        <f>IF(【実地研修中の宿泊】=1,J13W費用試算!$H$32*J18, 0)</f>
        <v>0</v>
      </c>
      <c r="L18" s="403">
        <f>IF(【実地研修中の宿泊】=1,L9,0)</f>
        <v>0</v>
      </c>
      <c r="M18" s="404">
        <f>IF(【実地研修中の宿泊】=1,J13W費用試算!$H$32*L18, 0)</f>
        <v>0</v>
      </c>
      <c r="N18" s="403">
        <f>IF(【実地研修中の宿泊】=1,N9,0)</f>
        <v>0</v>
      </c>
      <c r="O18" s="404">
        <f>IF(【実地研修中の宿泊】=1,J13W費用試算!$H$32*N18, 0)</f>
        <v>0</v>
      </c>
      <c r="P18" s="403">
        <f>IF(【実地研修中の宿泊】=1,P9,0)</f>
        <v>0</v>
      </c>
      <c r="Q18" s="404">
        <f>IF(【実地研修中の宿泊】=1,J13W費用試算!$H$32*P18, 0)</f>
        <v>0</v>
      </c>
      <c r="R18" s="403">
        <f>IF(【実地研修中の宿泊】=1,R9,0)</f>
        <v>0</v>
      </c>
      <c r="S18" s="404">
        <f>IF(【実地研修中の宿泊】=1,J13W費用試算!$H$32*R18, 0)</f>
        <v>0</v>
      </c>
      <c r="T18" s="403">
        <f>IF(【実地研修中の宿泊】=1,T9,0)</f>
        <v>0</v>
      </c>
      <c r="U18" s="404">
        <f>IF(【実地研修中の宿泊】=1,J13W費用試算!$H$32*T18, 0)</f>
        <v>0</v>
      </c>
      <c r="V18" s="403">
        <f>IF(【実地研修中の宿泊】=1,V9,0)</f>
        <v>0</v>
      </c>
      <c r="W18" s="404">
        <f>IF(【実地研修中の宿泊】=1,J13W費用試算!$H$32*V18, 0)</f>
        <v>0</v>
      </c>
      <c r="X18" s="403">
        <f>IF(【実地研修中の宿泊】=1,X9,0)</f>
        <v>0</v>
      </c>
      <c r="Y18" s="404">
        <f>IF(【実地研修中の宿泊】=1,J13W費用試算!$H$32*X18, 0)</f>
        <v>0</v>
      </c>
      <c r="Z18" s="403">
        <f>IF(【実地研修中の宿泊】=1,Z9,0)</f>
        <v>0</v>
      </c>
      <c r="AA18" s="404">
        <f>IF(【実地研修中の宿泊】=1,J13W費用試算!$H$32*Z18, 0)</f>
        <v>0</v>
      </c>
      <c r="AB18" s="403">
        <f>IF(【実地研修中の宿泊】=1,AB9,0)</f>
        <v>0</v>
      </c>
      <c r="AC18" s="404">
        <f>IF(【実地研修中の宿泊】=1,J13W費用試算!$H$32*AB18, 0)</f>
        <v>0</v>
      </c>
      <c r="AD18" s="403">
        <f>IF(【実地研修中の宿泊】=1,AD9,0)</f>
        <v>0</v>
      </c>
      <c r="AE18" s="405">
        <f>IF(【実地研修中の宿泊】=1,J13W費用試算!$H$32*AD18, 0)</f>
        <v>0</v>
      </c>
      <c r="AF18" s="406">
        <f ca="1">SUMIF($F$11:AE18,"金額",F18:AE18)</f>
        <v>0</v>
      </c>
    </row>
    <row r="19" spans="1:32" ht="22.5" customHeight="1" thickBot="1">
      <c r="A19" s="704"/>
      <c r="B19" s="705" t="s">
        <v>113</v>
      </c>
      <c r="C19" s="706"/>
      <c r="D19" s="706"/>
      <c r="E19" s="407">
        <f>SUM(E13:E18)</f>
        <v>1101680</v>
      </c>
      <c r="F19" s="408"/>
      <c r="G19" s="409">
        <f>SUM(G13:G18)</f>
        <v>289000</v>
      </c>
      <c r="H19" s="410"/>
      <c r="I19" s="409">
        <f>SUM(I13:I18)</f>
        <v>348000</v>
      </c>
      <c r="J19" s="410"/>
      <c r="K19" s="409">
        <f>SUM(K13:K18)</f>
        <v>371600</v>
      </c>
      <c r="L19" s="410"/>
      <c r="M19" s="409">
        <f>SUM(M13:M18)</f>
        <v>69600</v>
      </c>
      <c r="N19" s="410"/>
      <c r="O19" s="409">
        <f>SUM(O13:O18)</f>
        <v>0</v>
      </c>
      <c r="P19" s="410"/>
      <c r="Q19" s="409">
        <f>SUM(Q13:Q18)</f>
        <v>0</v>
      </c>
      <c r="R19" s="410"/>
      <c r="S19" s="409">
        <f>SUM(S13:S18)</f>
        <v>23480</v>
      </c>
      <c r="T19" s="410"/>
      <c r="U19" s="409">
        <f>SUM(U13:U18)</f>
        <v>0</v>
      </c>
      <c r="V19" s="410"/>
      <c r="W19" s="409">
        <f>SUM(W13:W18)</f>
        <v>0</v>
      </c>
      <c r="X19" s="410"/>
      <c r="Y19" s="409">
        <f>SUM(Y13:Y18)</f>
        <v>0</v>
      </c>
      <c r="Z19" s="410"/>
      <c r="AA19" s="409">
        <f>SUM(AA13:AA18)</f>
        <v>0</v>
      </c>
      <c r="AB19" s="410"/>
      <c r="AC19" s="409">
        <f>SUM(AC13:AC18)</f>
        <v>0</v>
      </c>
      <c r="AD19" s="411"/>
      <c r="AE19" s="412">
        <f>SUM(AE13:AE18)</f>
        <v>0</v>
      </c>
      <c r="AF19" s="413">
        <f ca="1">SUMIF($F$11:AE19,"金額",F19:AE19)</f>
        <v>1101680</v>
      </c>
    </row>
    <row r="20" spans="1:32" ht="22.5" customHeight="1">
      <c r="A20" s="726" t="s">
        <v>228</v>
      </c>
      <c r="B20" s="414" t="s">
        <v>134</v>
      </c>
      <c r="C20" s="415"/>
      <c r="D20" s="416" t="s">
        <v>136</v>
      </c>
      <c r="E20" s="417" t="str">
        <f>J13W費用試算!$J$26</f>
        <v>補助対象外</v>
      </c>
      <c r="F20" s="418"/>
      <c r="G20" s="419" t="str">
        <f>E20</f>
        <v>補助対象外</v>
      </c>
      <c r="H20" s="420"/>
      <c r="I20" s="419"/>
      <c r="J20" s="420"/>
      <c r="K20" s="419"/>
      <c r="L20" s="420"/>
      <c r="M20" s="419"/>
      <c r="N20" s="420"/>
      <c r="O20" s="419"/>
      <c r="P20" s="420"/>
      <c r="Q20" s="419"/>
      <c r="R20" s="420"/>
      <c r="S20" s="419"/>
      <c r="T20" s="420"/>
      <c r="U20" s="419"/>
      <c r="V20" s="420"/>
      <c r="W20" s="419"/>
      <c r="X20" s="420"/>
      <c r="Y20" s="419"/>
      <c r="Z20" s="420"/>
      <c r="AA20" s="419"/>
      <c r="AB20" s="420"/>
      <c r="AC20" s="419"/>
      <c r="AD20" s="420"/>
      <c r="AE20" s="419"/>
      <c r="AF20" s="421">
        <f ca="1">SUMIF($F$11:AE20,"金額",F20:AE20)</f>
        <v>0</v>
      </c>
    </row>
    <row r="21" spans="1:32" ht="22.5" customHeight="1">
      <c r="A21" s="727"/>
      <c r="B21" s="728" t="s">
        <v>26</v>
      </c>
      <c r="C21" s="731" t="s">
        <v>32</v>
      </c>
      <c r="D21" s="397" t="s">
        <v>29</v>
      </c>
      <c r="E21" s="422">
        <f>IF(E18&gt;0,0,J13W費用試算!$J$32)</f>
        <v>144440</v>
      </c>
      <c r="F21" s="423">
        <f>IF(【実地研修中の宿泊】=1,0,F9)</f>
        <v>0</v>
      </c>
      <c r="G21" s="424">
        <f>IF(【実地研修中の宿泊】=1,0,IF(【実地研修中の宿泊】=2,J13W費用試算!$H$32*F21,J13W費用試算!$H$32*F21))</f>
        <v>0</v>
      </c>
      <c r="H21" s="387">
        <f>IF(【実地研修中の宿泊】=1,0,H9)</f>
        <v>0</v>
      </c>
      <c r="I21" s="425">
        <f>IF(【実地研修中の宿泊】=1,0,IF(【実地研修中の宿泊】=2,J13W費用試算!$H$32*H21,J13W費用試算!$H$32*H21))</f>
        <v>0</v>
      </c>
      <c r="J21" s="387">
        <f>IF(【実地研修中の宿泊】=1,0,J9)</f>
        <v>0</v>
      </c>
      <c r="K21" s="425">
        <f>IF(【実地研修中の宿泊】=1,0,IF(【実地研修中の宿泊】=2,J13W費用試算!$H$32*J21,J13W費用試算!$H$32*J21))</f>
        <v>0</v>
      </c>
      <c r="L21" s="387">
        <f>IF(【実地研修中の宿泊】=1,0,L9)</f>
        <v>25</v>
      </c>
      <c r="M21" s="425">
        <f>IF(【実地研修中の宿泊】=1,0,IF(【実地研修中の宿泊】=2,J13W費用試算!$H$32*L21,J13W費用試算!$H$32*L21))</f>
        <v>39250</v>
      </c>
      <c r="N21" s="387">
        <f>IF(【実地研修中の宿泊】=1,0,N9)</f>
        <v>30</v>
      </c>
      <c r="O21" s="425">
        <f>IF(【実地研修中の宿泊】=1,0,IF(【実地研修中の宿泊】=2,J13W費用試算!$H$32*N21,J13W費用試算!$H$32*N21))</f>
        <v>47100</v>
      </c>
      <c r="P21" s="387">
        <f>IF(【実地研修中の宿泊】=1,0,P9)</f>
        <v>31</v>
      </c>
      <c r="Q21" s="425">
        <f>IF(【実地研修中の宿泊】=1,0,IF(【実地研修中の宿泊】=2,J13W費用試算!$H$32*P21,J13W費用試算!$H$32*P21))</f>
        <v>48670</v>
      </c>
      <c r="R21" s="387">
        <f>IF(【実地研修中の宿泊】=1,0,R9)</f>
        <v>6</v>
      </c>
      <c r="S21" s="425">
        <f>IF(【実地研修中の宿泊】=1,0,IF(【実地研修中の宿泊】=2,J13W費用試算!$H$32*R21,J13W費用試算!$H$32*R21))</f>
        <v>9420</v>
      </c>
      <c r="T21" s="387">
        <f>IF(【実地研修中の宿泊】=1,0,T9)</f>
        <v>0</v>
      </c>
      <c r="U21" s="425">
        <f>IF(【実地研修中の宿泊】=1,0,IF(【実地研修中の宿泊】=2,J13W費用試算!$H$32*T21,J13W費用試算!$H$32*T21))</f>
        <v>0</v>
      </c>
      <c r="V21" s="387">
        <f>IF(【実地研修中の宿泊】=1,0,V9)</f>
        <v>0</v>
      </c>
      <c r="W21" s="425">
        <f>IF(【実地研修中の宿泊】=1,0,IF(【実地研修中の宿泊】=2,J13W費用試算!$H$32*V21,J13W費用試算!$H$32*V21))</f>
        <v>0</v>
      </c>
      <c r="X21" s="387">
        <f>IF(【実地研修中の宿泊】=1,0,X9)</f>
        <v>0</v>
      </c>
      <c r="Y21" s="425">
        <f>IF(【実地研修中の宿泊】=1,0,IF(【実地研修中の宿泊】=2,J13W費用試算!$H$32*X21,J13W費用試算!$H$32*X21))</f>
        <v>0</v>
      </c>
      <c r="Z21" s="387">
        <f>IF(【実地研修中の宿泊】=1,0,Z9)</f>
        <v>0</v>
      </c>
      <c r="AA21" s="425">
        <f>IF(【実地研修中の宿泊】=1,0,IF(【実地研修中の宿泊】=2,J13W費用試算!$H$32*Z21,J13W費用試算!$H$32*Z21))</f>
        <v>0</v>
      </c>
      <c r="AB21" s="387">
        <f>IF(【実地研修中の宿泊】=1,0,AB9)</f>
        <v>0</v>
      </c>
      <c r="AC21" s="424">
        <f>IF(【実地研修中の宿泊】=1,0,IF(【実地研修中の宿泊】=2,J13W費用試算!$H$32*AB21,J13W費用試算!$H$32*AB21))</f>
        <v>0</v>
      </c>
      <c r="AD21" s="426">
        <f>IF(【実地研修中の宿泊】=1,0,AD9)</f>
        <v>0</v>
      </c>
      <c r="AE21" s="425">
        <f>IF(【実地研修中の宿泊】=1,0,IF(【実地研修中の宿泊】=2,J13W費用試算!$H$32*AD21,J13W費用試算!$H$32*AD21))</f>
        <v>0</v>
      </c>
      <c r="AF21" s="427">
        <f ca="1">SUMIF($F$11:AE21,"金額",F21:AE21)</f>
        <v>144440</v>
      </c>
    </row>
    <row r="22" spans="1:32" ht="22.5" customHeight="1">
      <c r="A22" s="727"/>
      <c r="B22" s="729"/>
      <c r="C22" s="732"/>
      <c r="D22" s="399" t="str">
        <f>J13W費用試算!G33</f>
        <v>食費</v>
      </c>
      <c r="E22" s="428">
        <f>J13W費用試算!$J$33</f>
        <v>285200</v>
      </c>
      <c r="F22" s="429">
        <f>F9</f>
        <v>0</v>
      </c>
      <c r="G22" s="430">
        <f>J13W費用試算!$H$33*F22</f>
        <v>0</v>
      </c>
      <c r="H22" s="431">
        <f t="shared" ref="H22" si="25">H9</f>
        <v>0</v>
      </c>
      <c r="I22" s="432">
        <f>J13W費用試算!$H$33*H22</f>
        <v>0</v>
      </c>
      <c r="J22" s="431">
        <f t="shared" ref="J22" si="26">J9</f>
        <v>0</v>
      </c>
      <c r="K22" s="432">
        <f>J13W費用試算!$H$33*J22</f>
        <v>0</v>
      </c>
      <c r="L22" s="431">
        <f t="shared" ref="L22" si="27">L9</f>
        <v>25</v>
      </c>
      <c r="M22" s="432">
        <f>J13W費用試算!$H$33*L22</f>
        <v>77500</v>
      </c>
      <c r="N22" s="431">
        <f t="shared" ref="N22" si="28">N9</f>
        <v>30</v>
      </c>
      <c r="O22" s="432">
        <f>J13W費用試算!$H$33*N22</f>
        <v>93000</v>
      </c>
      <c r="P22" s="431">
        <f t="shared" ref="P22" si="29">P9</f>
        <v>31</v>
      </c>
      <c r="Q22" s="432">
        <f>J13W費用試算!$H$33*P22</f>
        <v>96100</v>
      </c>
      <c r="R22" s="431">
        <f t="shared" ref="R22" si="30">R9</f>
        <v>6</v>
      </c>
      <c r="S22" s="432">
        <f>J13W費用試算!$H$33*R22</f>
        <v>18600</v>
      </c>
      <c r="T22" s="431">
        <f t="shared" ref="T22" si="31">T9</f>
        <v>0</v>
      </c>
      <c r="U22" s="432">
        <f>J13W費用試算!$H$33*T22</f>
        <v>0</v>
      </c>
      <c r="V22" s="431">
        <f t="shared" ref="V22" si="32">V9</f>
        <v>0</v>
      </c>
      <c r="W22" s="432">
        <f>J13W費用試算!$H$33*V22</f>
        <v>0</v>
      </c>
      <c r="X22" s="431">
        <f t="shared" ref="X22" si="33">X9</f>
        <v>0</v>
      </c>
      <c r="Y22" s="432">
        <f>J13W費用試算!$H$33*X22</f>
        <v>0</v>
      </c>
      <c r="Z22" s="431">
        <f t="shared" ref="Z22" si="34">Z9</f>
        <v>0</v>
      </c>
      <c r="AA22" s="432">
        <f>J13W費用試算!$H$33*Z22</f>
        <v>0</v>
      </c>
      <c r="AB22" s="431">
        <f t="shared" ref="AB22" si="35">AB9</f>
        <v>0</v>
      </c>
      <c r="AC22" s="430">
        <f>J13W費用試算!$H$33*AB22</f>
        <v>0</v>
      </c>
      <c r="AD22" s="433">
        <f t="shared" ref="AD22" si="36">AD9</f>
        <v>0</v>
      </c>
      <c r="AE22" s="432">
        <f>J13W費用試算!$H$33*AD22</f>
        <v>0</v>
      </c>
      <c r="AF22" s="434">
        <f ca="1">SUMIF($F$11:AE22,"金額",F22:AE22)</f>
        <v>285200</v>
      </c>
    </row>
    <row r="23" spans="1:32" ht="22.5" customHeight="1">
      <c r="A23" s="727"/>
      <c r="B23" s="730"/>
      <c r="C23" s="435" t="s">
        <v>2</v>
      </c>
      <c r="D23" s="436"/>
      <c r="E23" s="437">
        <f>J13W費用試算!$J$34</f>
        <v>184000</v>
      </c>
      <c r="F23" s="438">
        <f>F10</f>
        <v>25</v>
      </c>
      <c r="G23" s="439">
        <f>J13W費用試算!$H$34*F23</f>
        <v>25000</v>
      </c>
      <c r="H23" s="440">
        <f>H10</f>
        <v>30</v>
      </c>
      <c r="I23" s="439">
        <f>J13W費用試算!$H$34*H23</f>
        <v>30000</v>
      </c>
      <c r="J23" s="440">
        <f>J10</f>
        <v>31</v>
      </c>
      <c r="K23" s="439">
        <f>J13W費用試算!$H$34*J23</f>
        <v>31000</v>
      </c>
      <c r="L23" s="440">
        <f>L10</f>
        <v>31</v>
      </c>
      <c r="M23" s="439">
        <f>J13W費用試算!$H$34*L23</f>
        <v>31000</v>
      </c>
      <c r="N23" s="440">
        <f>N10</f>
        <v>30</v>
      </c>
      <c r="O23" s="439">
        <f>J13W費用試算!$H$34*N23</f>
        <v>30000</v>
      </c>
      <c r="P23" s="440">
        <f>P10</f>
        <v>31</v>
      </c>
      <c r="Q23" s="439">
        <f>J13W費用試算!$H$34*P23</f>
        <v>31000</v>
      </c>
      <c r="R23" s="440">
        <f>R10</f>
        <v>6</v>
      </c>
      <c r="S23" s="439">
        <f>J13W費用試算!$H$34*R23</f>
        <v>6000</v>
      </c>
      <c r="T23" s="440">
        <f>T10</f>
        <v>0</v>
      </c>
      <c r="U23" s="439">
        <f>J13W費用試算!$H$34*T23</f>
        <v>0</v>
      </c>
      <c r="V23" s="440">
        <f>V10</f>
        <v>0</v>
      </c>
      <c r="W23" s="439">
        <f>J13W費用試算!$H$34*V23</f>
        <v>0</v>
      </c>
      <c r="X23" s="440">
        <f>X10</f>
        <v>0</v>
      </c>
      <c r="Y23" s="439">
        <f>J13W費用試算!$H$34*X23</f>
        <v>0</v>
      </c>
      <c r="Z23" s="440">
        <f>Z10</f>
        <v>0</v>
      </c>
      <c r="AA23" s="439">
        <f>J13W費用試算!$H$34*Z23</f>
        <v>0</v>
      </c>
      <c r="AB23" s="440">
        <f>AB10</f>
        <v>0</v>
      </c>
      <c r="AC23" s="439">
        <f>J13W費用試算!$H$34*AB23</f>
        <v>0</v>
      </c>
      <c r="AD23" s="440">
        <f>AD10</f>
        <v>0</v>
      </c>
      <c r="AE23" s="439">
        <f>J13W費用試算!$H$34*AD23</f>
        <v>0</v>
      </c>
      <c r="AF23" s="441">
        <f ca="1">SUMIF($F$11:AE23,"金額",F23:AE23)</f>
        <v>184000</v>
      </c>
    </row>
    <row r="24" spans="1:32" ht="22.5" customHeight="1">
      <c r="A24" s="727"/>
      <c r="B24" s="442" t="str">
        <f>"実地研修費（@"&amp;TEXT(J13W費用試算!$H$36,"#,###")&amp;"×"&amp;J13W計算シート!$C$13&amp;"日）"</f>
        <v>実地研修費（@3,360×92日）</v>
      </c>
      <c r="C24" s="443"/>
      <c r="D24" s="444"/>
      <c r="E24" s="437">
        <f>J13W費用試算!$J$36</f>
        <v>309120</v>
      </c>
      <c r="F24" s="438">
        <f>F9</f>
        <v>0</v>
      </c>
      <c r="G24" s="439">
        <f>J13W費用試算!$H$36*F24</f>
        <v>0</v>
      </c>
      <c r="H24" s="440">
        <f>H9</f>
        <v>0</v>
      </c>
      <c r="I24" s="439">
        <f>J13W費用試算!$H$36*H24</f>
        <v>0</v>
      </c>
      <c r="J24" s="440">
        <f>J9</f>
        <v>0</v>
      </c>
      <c r="K24" s="439">
        <f>J13W費用試算!$H$36*J24</f>
        <v>0</v>
      </c>
      <c r="L24" s="440">
        <f>L9</f>
        <v>25</v>
      </c>
      <c r="M24" s="439">
        <f>J13W費用試算!$H$36*L24</f>
        <v>84000</v>
      </c>
      <c r="N24" s="440">
        <f>N9</f>
        <v>30</v>
      </c>
      <c r="O24" s="439">
        <f>J13W費用試算!$H$36*N24</f>
        <v>100800</v>
      </c>
      <c r="P24" s="440">
        <f>P9</f>
        <v>31</v>
      </c>
      <c r="Q24" s="439">
        <f>J13W費用試算!$H$36*P24</f>
        <v>104160</v>
      </c>
      <c r="R24" s="440">
        <f>R9</f>
        <v>6</v>
      </c>
      <c r="S24" s="439">
        <f>J13W費用試算!$H$36*R24</f>
        <v>20160</v>
      </c>
      <c r="T24" s="440">
        <f>T9</f>
        <v>0</v>
      </c>
      <c r="U24" s="439">
        <f>J13W費用試算!$H$36*T24</f>
        <v>0</v>
      </c>
      <c r="V24" s="440">
        <f>V9</f>
        <v>0</v>
      </c>
      <c r="W24" s="439">
        <f>J13W費用試算!$H$36*V24</f>
        <v>0</v>
      </c>
      <c r="X24" s="440">
        <f>X9</f>
        <v>0</v>
      </c>
      <c r="Y24" s="439">
        <f>J13W費用試算!$H$36*X24</f>
        <v>0</v>
      </c>
      <c r="Z24" s="440">
        <f>Z9</f>
        <v>0</v>
      </c>
      <c r="AA24" s="439">
        <f>J13W費用試算!$H$36*Z24</f>
        <v>0</v>
      </c>
      <c r="AB24" s="440">
        <f>AB9</f>
        <v>0</v>
      </c>
      <c r="AC24" s="439">
        <f>J13W費用試算!$H$36*AB24</f>
        <v>0</v>
      </c>
      <c r="AD24" s="440">
        <f>AD9</f>
        <v>0</v>
      </c>
      <c r="AE24" s="445">
        <f>J13W費用試算!$H$36*AD24</f>
        <v>0</v>
      </c>
      <c r="AF24" s="441">
        <f ca="1">SUMIF($F$11:AE24,"金額",F24:AE24)</f>
        <v>309120</v>
      </c>
    </row>
    <row r="25" spans="1:32" ht="22.5" customHeight="1">
      <c r="A25" s="727"/>
      <c r="B25" s="372" t="s">
        <v>239</v>
      </c>
      <c r="C25" s="1"/>
      <c r="D25" s="436"/>
      <c r="E25" s="448">
        <f>J13W費用試算!$J$37</f>
        <v>0</v>
      </c>
      <c r="F25" s="527"/>
      <c r="G25" s="528">
        <f ca="1">SUMIF(【国内移動費】,F$6,J13W計算シート!$M$5:$M$7)</f>
        <v>0</v>
      </c>
      <c r="H25" s="529"/>
      <c r="I25" s="528">
        <f ca="1">SUMIF(【国内移動費】,H$6,J13W計算シート!$M$5:$M$7)</f>
        <v>0</v>
      </c>
      <c r="J25" s="529"/>
      <c r="K25" s="528">
        <f ca="1">SUMIF(【国内移動費】,J$6,J13W計算シート!$M$5:$M$7)</f>
        <v>0</v>
      </c>
      <c r="L25" s="529"/>
      <c r="M25" s="528">
        <f ca="1">SUMIF(【国内移動費】,L$6,J13W計算シート!$M$5:$M$7)</f>
        <v>0</v>
      </c>
      <c r="N25" s="529"/>
      <c r="O25" s="528">
        <f ca="1">SUMIF(【国内移動費】,N$6,J13W計算シート!$M$5:$M$7)</f>
        <v>0</v>
      </c>
      <c r="P25" s="529"/>
      <c r="Q25" s="528">
        <f ca="1">SUMIF(【国内移動費】,P$6,J13W計算シート!$M$5:$M$7)</f>
        <v>0</v>
      </c>
      <c r="R25" s="529"/>
      <c r="S25" s="528">
        <f ca="1">SUMIF(【国内移動費】,R$6,J13W計算シート!$M$5:$M$7)</f>
        <v>0</v>
      </c>
      <c r="T25" s="529"/>
      <c r="U25" s="528">
        <f ca="1">SUMIF(【国内移動費】,T$6,J13W計算シート!$M$5:$M$7)</f>
        <v>0</v>
      </c>
      <c r="V25" s="529"/>
      <c r="W25" s="528">
        <f ca="1">SUMIF(【国内移動費】,V$6,J13W計算シート!$M$5:$M$7)</f>
        <v>0</v>
      </c>
      <c r="X25" s="529"/>
      <c r="Y25" s="528">
        <f ca="1">SUMIF(【国内移動費】,X$6,J13W計算シート!$M$5:$M$7)</f>
        <v>0</v>
      </c>
      <c r="Z25" s="529"/>
      <c r="AA25" s="528">
        <f ca="1">SUMIF(【国内移動費】,Z$6,J13W計算シート!$M$5:$M$7)</f>
        <v>0</v>
      </c>
      <c r="AB25" s="529"/>
      <c r="AC25" s="528">
        <f ca="1">SUMIF(【国内移動費】,AB$6,J13W計算シート!$M$5:$M$7)</f>
        <v>0</v>
      </c>
      <c r="AD25" s="529"/>
      <c r="AE25" s="530">
        <f ca="1">SUMIF(【国内移動費】,AD$6,J13W計算シート!$M$5:$M$7)</f>
        <v>0</v>
      </c>
      <c r="AF25" s="413">
        <f t="shared" ref="AF25" ca="1" si="37">SUM(F25:AE25)</f>
        <v>0</v>
      </c>
    </row>
    <row r="26" spans="1:32" ht="22.5" customHeight="1" thickBot="1">
      <c r="A26" s="727"/>
      <c r="B26" s="733" t="s">
        <v>204</v>
      </c>
      <c r="C26" s="734"/>
      <c r="D26" s="735"/>
      <c r="E26" s="532">
        <f>SUM(E20:E25)</f>
        <v>922760</v>
      </c>
      <c r="F26" s="533"/>
      <c r="G26" s="534">
        <f ca="1">SUM(G20:G25)</f>
        <v>25000</v>
      </c>
      <c r="H26" s="535"/>
      <c r="I26" s="534">
        <f ca="1">SUM(I20:I25)</f>
        <v>30000</v>
      </c>
      <c r="J26" s="535"/>
      <c r="K26" s="534">
        <f ca="1">SUM(K20:K25)</f>
        <v>31000</v>
      </c>
      <c r="L26" s="535"/>
      <c r="M26" s="534">
        <f ca="1">SUM(M20:M25)</f>
        <v>231750</v>
      </c>
      <c r="N26" s="535"/>
      <c r="O26" s="534">
        <f ca="1">SUM(O20:O25)</f>
        <v>270900</v>
      </c>
      <c r="P26" s="535"/>
      <c r="Q26" s="534">
        <f ca="1">SUM(Q20:Q25)</f>
        <v>279930</v>
      </c>
      <c r="R26" s="535"/>
      <c r="S26" s="534">
        <f ca="1">SUM(S20:S25)</f>
        <v>54180</v>
      </c>
      <c r="T26" s="535"/>
      <c r="U26" s="534">
        <f ca="1">SUM(U20:U25)</f>
        <v>0</v>
      </c>
      <c r="V26" s="535"/>
      <c r="W26" s="534">
        <f ca="1">SUM(W20:W25)</f>
        <v>0</v>
      </c>
      <c r="X26" s="535"/>
      <c r="Y26" s="534">
        <f ca="1">SUM(Y20:Y25)</f>
        <v>0</v>
      </c>
      <c r="Z26" s="535"/>
      <c r="AA26" s="534">
        <f ca="1">SUM(AA20:AA25)</f>
        <v>0</v>
      </c>
      <c r="AB26" s="535"/>
      <c r="AC26" s="534">
        <f ca="1">SUM(AC20:AC25)</f>
        <v>0</v>
      </c>
      <c r="AD26" s="536"/>
      <c r="AE26" s="537">
        <f ca="1">SUM(AE20:AE25)</f>
        <v>0</v>
      </c>
      <c r="AF26" s="538">
        <f t="shared" ref="AF26:AF29" ca="1" si="38">SUM(F26:AE26)</f>
        <v>922760</v>
      </c>
    </row>
    <row r="27" spans="1:32" ht="22.5" customHeight="1">
      <c r="A27" s="736" t="s">
        <v>282</v>
      </c>
      <c r="B27" s="469" t="s">
        <v>237</v>
      </c>
      <c r="C27" s="469"/>
      <c r="D27" s="539" t="str">
        <f>"(①+②)×("&amp;TEXT(VLOOKUP(【研修申込区分】,【研修申込区分別費用】,4,FALSE),"# ?/?")&amp;" )"</f>
        <v>(①+②)×( 2/3 )</v>
      </c>
      <c r="E27" s="540">
        <f>J13W費用試算!$J$44</f>
        <v>1349631</v>
      </c>
      <c r="F27" s="418"/>
      <c r="G27" s="541">
        <f ca="1">ROUNDUP((G26+G19)*J13W費用試算!$N$25,0)</f>
        <v>209334</v>
      </c>
      <c r="H27" s="418"/>
      <c r="I27" s="541">
        <f ca="1">ROUNDUP((I26+I19)*J13W費用試算!$N$25,0)</f>
        <v>252000</v>
      </c>
      <c r="J27" s="418"/>
      <c r="K27" s="541">
        <f ca="1">ROUNDUP((K26+K19)*J13W費用試算!$N$25,0)</f>
        <v>268400</v>
      </c>
      <c r="L27" s="418"/>
      <c r="M27" s="541">
        <f ca="1">ROUNDUP((M26+M19)*J13W費用試算!$N$25,0)</f>
        <v>200900</v>
      </c>
      <c r="N27" s="418"/>
      <c r="O27" s="541">
        <f ca="1">ROUNDUP((O26+O19)*J13W費用試算!$N$25,0)</f>
        <v>180600</v>
      </c>
      <c r="P27" s="418"/>
      <c r="Q27" s="541">
        <f ca="1">ROUNDUP((Q26+Q19)*J13W費用試算!$N$25,0)</f>
        <v>186620</v>
      </c>
      <c r="R27" s="418"/>
      <c r="S27" s="541">
        <f ca="1">ROUNDUP((S26+S19)*J13W費用試算!$N$25,0)</f>
        <v>51774</v>
      </c>
      <c r="T27" s="418"/>
      <c r="U27" s="541">
        <f ca="1">ROUNDUP((U26+U19)*J13W費用試算!$N$25,0)</f>
        <v>0</v>
      </c>
      <c r="V27" s="418"/>
      <c r="W27" s="541">
        <f ca="1">ROUNDUP((W26+W19)*J13W費用試算!$N$25,0)</f>
        <v>0</v>
      </c>
      <c r="X27" s="418"/>
      <c r="Y27" s="541">
        <f ca="1">ROUNDUP((Y26+Y19)*J13W費用試算!$N$25,0)</f>
        <v>0</v>
      </c>
      <c r="Z27" s="418"/>
      <c r="AA27" s="541">
        <f ca="1">ROUNDUP((AA26+AA19)*J13W費用試算!$N$25,0)</f>
        <v>0</v>
      </c>
      <c r="AB27" s="418"/>
      <c r="AC27" s="541">
        <f ca="1">ROUNDUP((AC26+AC19)*J13W費用試算!$N$25,0)</f>
        <v>0</v>
      </c>
      <c r="AD27" s="418"/>
      <c r="AE27" s="541">
        <f ca="1">ROUNDUP((AE26+AE19)*J13W費用試算!$N$25,0)</f>
        <v>0</v>
      </c>
      <c r="AF27" s="421">
        <f t="shared" ca="1" si="38"/>
        <v>1349628</v>
      </c>
    </row>
    <row r="28" spans="1:32" ht="22.5" customHeight="1">
      <c r="A28" s="737"/>
      <c r="B28" s="449" t="s">
        <v>231</v>
      </c>
      <c r="C28" s="450"/>
      <c r="D28" s="451"/>
      <c r="E28" s="452">
        <f>J13W費用試算!$J$45</f>
        <v>798000</v>
      </c>
      <c r="F28" s="453" t="s">
        <v>52</v>
      </c>
      <c r="G28" s="454">
        <f>E28</f>
        <v>798000</v>
      </c>
      <c r="H28" s="455"/>
      <c r="I28" s="454"/>
      <c r="J28" s="455"/>
      <c r="K28" s="454"/>
      <c r="L28" s="455"/>
      <c r="M28" s="454"/>
      <c r="N28" s="455"/>
      <c r="O28" s="454"/>
      <c r="P28" s="455"/>
      <c r="Q28" s="454"/>
      <c r="R28" s="455"/>
      <c r="S28" s="454"/>
      <c r="T28" s="455"/>
      <c r="U28" s="454"/>
      <c r="V28" s="455"/>
      <c r="W28" s="454"/>
      <c r="X28" s="455"/>
      <c r="Y28" s="454"/>
      <c r="Z28" s="455"/>
      <c r="AA28" s="454"/>
      <c r="AB28" s="455"/>
      <c r="AC28" s="454"/>
      <c r="AD28" s="455"/>
      <c r="AE28" s="456"/>
      <c r="AF28" s="457">
        <f t="shared" si="38"/>
        <v>798000</v>
      </c>
    </row>
    <row r="29" spans="1:32" ht="22.5" customHeight="1" thickBot="1">
      <c r="A29" s="738"/>
      <c r="B29" s="739" t="s">
        <v>201</v>
      </c>
      <c r="C29" s="740"/>
      <c r="D29" s="741"/>
      <c r="E29" s="458">
        <f>SUM(E27:E28)</f>
        <v>2147631</v>
      </c>
      <c r="F29" s="542"/>
      <c r="G29" s="543">
        <f ca="1">SUM(G27:G28)</f>
        <v>1007334</v>
      </c>
      <c r="H29" s="544"/>
      <c r="I29" s="543">
        <f t="shared" ref="I29" ca="1" si="39">SUM(I27:I28)</f>
        <v>252000</v>
      </c>
      <c r="J29" s="544"/>
      <c r="K29" s="543">
        <f t="shared" ref="K29" ca="1" si="40">SUM(K27:K28)</f>
        <v>268400</v>
      </c>
      <c r="L29" s="544"/>
      <c r="M29" s="543">
        <f t="shared" ref="M29" ca="1" si="41">SUM(M27:M28)</f>
        <v>200900</v>
      </c>
      <c r="N29" s="544"/>
      <c r="O29" s="543">
        <f t="shared" ref="O29" ca="1" si="42">SUM(O27:O28)</f>
        <v>180600</v>
      </c>
      <c r="P29" s="544"/>
      <c r="Q29" s="543">
        <f t="shared" ref="Q29" ca="1" si="43">SUM(Q27:Q28)</f>
        <v>186620</v>
      </c>
      <c r="R29" s="544"/>
      <c r="S29" s="543">
        <f t="shared" ref="S29" ca="1" si="44">SUM(S27:S28)</f>
        <v>51774</v>
      </c>
      <c r="T29" s="544"/>
      <c r="U29" s="543">
        <f t="shared" ref="U29" ca="1" si="45">SUM(U27:U28)</f>
        <v>0</v>
      </c>
      <c r="V29" s="544"/>
      <c r="W29" s="543">
        <f t="shared" ref="W29" ca="1" si="46">SUM(W27:W28)</f>
        <v>0</v>
      </c>
      <c r="X29" s="544"/>
      <c r="Y29" s="543">
        <f t="shared" ref="Y29" ca="1" si="47">SUM(Y27:Y28)</f>
        <v>0</v>
      </c>
      <c r="Z29" s="544"/>
      <c r="AA29" s="543">
        <f t="shared" ref="AA29" ca="1" si="48">SUM(AA27:AA28)</f>
        <v>0</v>
      </c>
      <c r="AB29" s="544"/>
      <c r="AC29" s="543">
        <f t="shared" ref="AC29" ca="1" si="49">SUM(AC27:AC28)</f>
        <v>0</v>
      </c>
      <c r="AD29" s="544"/>
      <c r="AE29" s="545">
        <f t="shared" ref="AE29" ca="1" si="50">SUM(AE27:AE28)</f>
        <v>0</v>
      </c>
      <c r="AF29" s="459">
        <f t="shared" ca="1" si="38"/>
        <v>2147628</v>
      </c>
    </row>
    <row r="30" spans="1:32" ht="27" customHeight="1" thickTop="1" thickBot="1">
      <c r="A30" s="742" t="s">
        <v>241</v>
      </c>
      <c r="B30" s="743"/>
      <c r="C30" s="743"/>
      <c r="D30" s="744"/>
      <c r="E30" s="460">
        <f>E26-E29</f>
        <v>-1224871</v>
      </c>
      <c r="F30" s="745">
        <f ca="1">G26-G29</f>
        <v>-982334</v>
      </c>
      <c r="G30" s="746"/>
      <c r="H30" s="746">
        <f t="shared" ref="H30" ca="1" si="51">I26-I29</f>
        <v>-222000</v>
      </c>
      <c r="I30" s="746"/>
      <c r="J30" s="746">
        <f t="shared" ref="J30" ca="1" si="52">K26-K29</f>
        <v>-237400</v>
      </c>
      <c r="K30" s="746"/>
      <c r="L30" s="746">
        <f t="shared" ref="L30" ca="1" si="53">M26-M29</f>
        <v>30850</v>
      </c>
      <c r="M30" s="746"/>
      <c r="N30" s="746">
        <f t="shared" ref="N30" ca="1" si="54">O26-O29</f>
        <v>90300</v>
      </c>
      <c r="O30" s="746"/>
      <c r="P30" s="746">
        <f t="shared" ref="P30" ca="1" si="55">Q26-Q29</f>
        <v>93310</v>
      </c>
      <c r="Q30" s="746"/>
      <c r="R30" s="746">
        <f t="shared" ref="R30" ca="1" si="56">S26-S29</f>
        <v>2406</v>
      </c>
      <c r="S30" s="746"/>
      <c r="T30" s="746">
        <f t="shared" ref="T30" ca="1" si="57">U26-U29</f>
        <v>0</v>
      </c>
      <c r="U30" s="746"/>
      <c r="V30" s="746">
        <f t="shared" ref="V30" ca="1" si="58">W26-W29</f>
        <v>0</v>
      </c>
      <c r="W30" s="746"/>
      <c r="X30" s="746">
        <f t="shared" ref="X30" ca="1" si="59">Y26-Y29</f>
        <v>0</v>
      </c>
      <c r="Y30" s="746"/>
      <c r="Z30" s="746">
        <f t="shared" ref="Z30" ca="1" si="60">AA26-AA29</f>
        <v>0</v>
      </c>
      <c r="AA30" s="746"/>
      <c r="AB30" s="746">
        <f t="shared" ref="AB30" ca="1" si="61">AC26-AC29</f>
        <v>0</v>
      </c>
      <c r="AC30" s="746"/>
      <c r="AD30" s="746">
        <f t="shared" ref="AD30" ca="1" si="62">AE26-AE29</f>
        <v>0</v>
      </c>
      <c r="AE30" s="747"/>
      <c r="AF30" s="447">
        <f ca="1">SUM(F30:AE30)</f>
        <v>-1224868</v>
      </c>
    </row>
    <row r="31" spans="1:32" ht="32.25" customHeight="1" thickTop="1" thickBot="1">
      <c r="A31" s="748" t="s">
        <v>114</v>
      </c>
      <c r="B31" s="749"/>
      <c r="C31" s="749"/>
      <c r="D31" s="750"/>
      <c r="E31" s="461"/>
      <c r="F31" s="751">
        <f ca="1">IF(F30=0,"",F30)</f>
        <v>-982334</v>
      </c>
      <c r="G31" s="752"/>
      <c r="H31" s="753">
        <f ca="1">IF(H30=0,"",H30+F31)</f>
        <v>-1204334</v>
      </c>
      <c r="I31" s="752"/>
      <c r="J31" s="753">
        <f t="shared" ref="J31" ca="1" si="63">IF(J30=0,"",J30+H31)</f>
        <v>-1441734</v>
      </c>
      <c r="K31" s="752"/>
      <c r="L31" s="753">
        <f t="shared" ref="L31" ca="1" si="64">IF(L30=0,"",L30+J31)</f>
        <v>-1410884</v>
      </c>
      <c r="M31" s="752"/>
      <c r="N31" s="753">
        <f t="shared" ref="N31" ca="1" si="65">IF(N30=0,"",N30+L31)</f>
        <v>-1320584</v>
      </c>
      <c r="O31" s="752"/>
      <c r="P31" s="753">
        <f t="shared" ref="P31" ca="1" si="66">IF(P30=0,"",P30+N31)</f>
        <v>-1227274</v>
      </c>
      <c r="Q31" s="752"/>
      <c r="R31" s="753">
        <f t="shared" ref="R31" ca="1" si="67">IF(R30=0,"",R30+P31)</f>
        <v>-1224868</v>
      </c>
      <c r="S31" s="752"/>
      <c r="T31" s="753" t="str">
        <f t="shared" ref="T31" ca="1" si="68">IF(T30=0,"",T30+R31)</f>
        <v/>
      </c>
      <c r="U31" s="752"/>
      <c r="V31" s="753" t="str">
        <f t="shared" ref="V31" ca="1" si="69">IF(V30=0,"",V30+T31)</f>
        <v/>
      </c>
      <c r="W31" s="752"/>
      <c r="X31" s="753" t="str">
        <f t="shared" ref="X31" ca="1" si="70">IF(X30=0,"",X30+V31)</f>
        <v/>
      </c>
      <c r="Y31" s="752"/>
      <c r="Z31" s="753" t="str">
        <f t="shared" ref="Z31" ca="1" si="71">IF(Z30=0,"",Z30+X31)</f>
        <v/>
      </c>
      <c r="AA31" s="752"/>
      <c r="AB31" s="753" t="str">
        <f t="shared" ref="AB31" ca="1" si="72">IF(AB30=0,"",AB30+Z31)</f>
        <v/>
      </c>
      <c r="AC31" s="752"/>
      <c r="AD31" s="753" t="str">
        <f t="shared" ref="AD31" ca="1" si="73">IF(AD30=0,"",AD30+AB31)</f>
        <v/>
      </c>
      <c r="AE31" s="754"/>
      <c r="AF31" s="1"/>
    </row>
    <row r="32" spans="1:32" ht="20.100000000000001" customHeight="1" thickTop="1">
      <c r="A32" s="1" t="s">
        <v>229</v>
      </c>
      <c r="B32" s="33"/>
      <c r="C32" s="33"/>
      <c r="D32" s="33"/>
      <c r="E32" s="462"/>
      <c r="F32" s="463"/>
      <c r="G32" s="463"/>
      <c r="H32" s="463"/>
      <c r="I32" s="463"/>
      <c r="J32" s="463"/>
      <c r="K32" s="463"/>
      <c r="L32" s="463"/>
      <c r="M32" s="463"/>
      <c r="N32" s="463"/>
      <c r="O32" s="463"/>
      <c r="P32" s="463"/>
      <c r="Q32" s="463"/>
      <c r="R32" s="463"/>
      <c r="S32" s="463"/>
      <c r="T32" s="463"/>
      <c r="U32" s="463"/>
      <c r="V32" s="463"/>
      <c r="W32" s="463"/>
      <c r="X32" s="463"/>
      <c r="Y32" s="463"/>
      <c r="Z32" s="463"/>
      <c r="AA32" s="463"/>
      <c r="AB32" s="463"/>
      <c r="AC32" s="463"/>
      <c r="AD32" s="761"/>
      <c r="AE32" s="761"/>
      <c r="AF32" s="1"/>
    </row>
    <row r="33" spans="2:32" ht="13.5" customHeight="1">
      <c r="E33" s="464"/>
      <c r="F33" s="465"/>
      <c r="G33" s="465"/>
      <c r="H33" s="465"/>
      <c r="I33" s="465"/>
      <c r="J33" s="465"/>
      <c r="K33" s="465"/>
      <c r="L33" s="465"/>
      <c r="M33" s="465"/>
      <c r="N33" s="465"/>
      <c r="O33" s="465"/>
      <c r="P33" s="465"/>
      <c r="Q33" s="465"/>
      <c r="R33" s="465"/>
      <c r="S33" s="465"/>
      <c r="T33" s="465"/>
      <c r="U33" s="465"/>
      <c r="V33" s="465"/>
      <c r="W33" s="465"/>
      <c r="X33" s="465"/>
      <c r="Y33" s="465"/>
      <c r="Z33" s="465"/>
      <c r="AA33" s="465"/>
      <c r="AB33" s="465"/>
      <c r="AC33" s="465"/>
    </row>
    <row r="34" spans="2:32" ht="13.5" customHeight="1">
      <c r="E34" s="465"/>
      <c r="F34" s="465"/>
      <c r="G34" s="465"/>
      <c r="H34" s="465"/>
      <c r="I34" s="465"/>
      <c r="J34" s="465"/>
      <c r="K34" s="465"/>
      <c r="L34" s="465"/>
      <c r="M34" s="465"/>
      <c r="N34" s="465"/>
      <c r="O34" s="465"/>
      <c r="P34" s="465"/>
      <c r="Q34" s="465"/>
      <c r="R34" s="465"/>
      <c r="S34" s="465"/>
      <c r="T34" s="465"/>
      <c r="U34" s="465"/>
      <c r="V34" s="465"/>
      <c r="W34" s="465"/>
      <c r="X34" s="465"/>
      <c r="Y34" s="465"/>
      <c r="Z34" s="465"/>
      <c r="AA34" s="465"/>
      <c r="AB34" s="465"/>
      <c r="AC34" s="465"/>
    </row>
    <row r="35" spans="2:32" ht="13.5" customHeight="1"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5"/>
      <c r="P35" s="465"/>
      <c r="Q35" s="465"/>
      <c r="R35" s="465"/>
      <c r="S35" s="465"/>
      <c r="T35" s="465"/>
      <c r="U35" s="465"/>
      <c r="V35" s="465"/>
      <c r="W35" s="465"/>
      <c r="X35" s="465"/>
      <c r="Y35" s="465"/>
      <c r="Z35" s="465"/>
      <c r="AA35" s="465"/>
      <c r="AB35" s="465"/>
      <c r="AC35" s="465"/>
    </row>
    <row r="36" spans="2:32" ht="13.5" customHeight="1">
      <c r="E36" s="465"/>
      <c r="F36" s="465"/>
      <c r="G36" s="465"/>
      <c r="H36" s="465"/>
      <c r="I36" s="465"/>
      <c r="J36" s="465"/>
      <c r="K36" s="465"/>
      <c r="L36" s="465"/>
      <c r="M36" s="465"/>
      <c r="N36" s="465"/>
      <c r="O36" s="465"/>
      <c r="P36" s="465"/>
      <c r="Q36" s="465"/>
      <c r="R36" s="465"/>
      <c r="S36" s="465"/>
      <c r="T36" s="465"/>
      <c r="U36" s="465"/>
      <c r="V36" s="465"/>
      <c r="W36" s="465"/>
      <c r="X36" s="465"/>
      <c r="Y36" s="465"/>
      <c r="Z36" s="465"/>
      <c r="AA36" s="465"/>
      <c r="AB36" s="465"/>
      <c r="AC36" s="465"/>
    </row>
    <row r="37" spans="2:32" ht="13.5" customHeight="1">
      <c r="E37" s="465"/>
      <c r="F37" s="465"/>
      <c r="G37" s="465"/>
      <c r="H37" s="465"/>
      <c r="I37" s="465"/>
      <c r="J37" s="465"/>
      <c r="K37" s="465"/>
      <c r="L37" s="465"/>
      <c r="M37" s="465"/>
      <c r="N37" s="465"/>
      <c r="O37" s="465"/>
      <c r="P37" s="465"/>
      <c r="Q37" s="465"/>
      <c r="R37" s="465"/>
      <c r="S37" s="465"/>
      <c r="T37" s="465"/>
      <c r="U37" s="465"/>
      <c r="V37" s="465"/>
      <c r="W37" s="465"/>
      <c r="X37" s="465"/>
      <c r="Y37" s="465"/>
      <c r="Z37" s="465"/>
      <c r="AA37" s="465"/>
      <c r="AB37" s="465"/>
      <c r="AC37" s="465"/>
    </row>
    <row r="38" spans="2:32" ht="20.100000000000001" customHeight="1" thickBot="1">
      <c r="B38" s="147" t="s">
        <v>202</v>
      </c>
      <c r="C38" s="1"/>
      <c r="D38" s="1"/>
      <c r="E38" s="466"/>
      <c r="F38" s="463"/>
      <c r="G38" s="463"/>
      <c r="H38" s="463"/>
      <c r="I38" s="463"/>
      <c r="J38" s="463"/>
      <c r="K38" s="463"/>
      <c r="L38" s="463"/>
      <c r="M38" s="463"/>
      <c r="N38" s="463"/>
      <c r="O38" s="463"/>
      <c r="P38" s="463"/>
      <c r="Q38" s="463"/>
      <c r="R38" s="463"/>
      <c r="S38" s="463"/>
      <c r="T38" s="463"/>
      <c r="U38" s="463"/>
      <c r="V38" s="463"/>
      <c r="W38" s="463"/>
      <c r="X38" s="463"/>
      <c r="Y38" s="463"/>
      <c r="Z38" s="463"/>
      <c r="AA38" s="463"/>
      <c r="AB38" s="463"/>
      <c r="AC38" s="463"/>
      <c r="AD38" s="467"/>
      <c r="AE38" s="145"/>
      <c r="AF38" s="1"/>
    </row>
    <row r="39" spans="2:32" ht="20.25" customHeight="1">
      <c r="B39" s="468"/>
      <c r="C39" s="469"/>
      <c r="D39" s="470"/>
      <c r="E39" s="471"/>
      <c r="F39" s="762" t="s">
        <v>11</v>
      </c>
      <c r="G39" s="763"/>
      <c r="H39" s="472" t="s">
        <v>32</v>
      </c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3"/>
      <c r="T39" s="473"/>
      <c r="U39" s="473"/>
      <c r="V39" s="473"/>
      <c r="W39" s="473"/>
      <c r="X39" s="473"/>
      <c r="Y39" s="473"/>
      <c r="Z39" s="473"/>
      <c r="AA39" s="473"/>
      <c r="AB39" s="473"/>
      <c r="AC39" s="473"/>
      <c r="AD39" s="474"/>
      <c r="AE39" s="475"/>
      <c r="AF39" s="471"/>
    </row>
    <row r="40" spans="2:32" ht="20.25" customHeight="1" thickBot="1">
      <c r="B40" s="476"/>
      <c r="C40" s="1"/>
      <c r="D40" s="146"/>
      <c r="E40" s="477" t="s">
        <v>4</v>
      </c>
      <c r="F40" s="478"/>
      <c r="G40" s="479">
        <f>J13W計算シート!$C$10</f>
        <v>45875</v>
      </c>
      <c r="H40" s="480" t="str">
        <f>IF($G$40=J13W計算シート!$C$14,"",YEAR($I$40)&amp;"/"&amp;MONTH($I$40))</f>
        <v>2025/8</v>
      </c>
      <c r="I40" s="481">
        <f>IF(J13W計算シート!$C$12=0,"",J13W計算シート!$C$12)</f>
        <v>45876</v>
      </c>
      <c r="J40" s="764" t="str">
        <f>IF(OR(J13W計算シート!$C$13=H45,J13W計算シート!$C$12=0),"",IF(MONTH($I$40)=12,YEAR($I$40)+1&amp;"/"&amp;"1",YEAR($I$40)&amp;"/"&amp;MONTH($I$40)+1))</f>
        <v>2025/9</v>
      </c>
      <c r="K40" s="765"/>
      <c r="L40" s="764" t="str">
        <f ca="1">IF(OR(J13W計算シート!$C$13=SUMIF($H$41:K$45,"日数/回",$H$45:K$45),J13W計算シート!$C$12=0),"",IF(MID(J40,6,2)="12",LEFT(J40,4)+1&amp;"/"&amp;"1",LEFT(J40,4)&amp;"/"&amp;MID(J40,6,2)+1))</f>
        <v>2025/10</v>
      </c>
      <c r="M40" s="765"/>
      <c r="N40" s="764" t="str">
        <f ca="1">IF(OR(J13W計算シート!$C$13=SUMIF($H$41:M$45,"日数/回",$H$45:M$45),J13W計算シート!$C$12=0),"",IF(MID(L40,6,2)="12",LEFT(L40,4)+1&amp;"/"&amp;"1",LEFT(L40,4)&amp;"/"&amp;MID(L40,6,2)+1))</f>
        <v>2025/11</v>
      </c>
      <c r="O40" s="765"/>
      <c r="P40" s="764" t="str">
        <f ca="1">IF(OR(J13W計算シート!$C$13=SUMIF($H$41:O$45,"日数/回",$H$45:O$45),J13W計算シート!$C$12=0),"",IF(MID(N40,6,2)="12",LEFT(N40,4)+1&amp;"/"&amp;"1",LEFT(N40,4)&amp;"/"&amp;MID(N40,6,2)+1))</f>
        <v/>
      </c>
      <c r="Q40" s="765"/>
      <c r="R40" s="764" t="str">
        <f ca="1">IF(OR(J13W計算シート!$C$13=SUMIF($H$41:Q$45,"日数/回",$H$45:Q$45),J13W計算シート!$C$12=0),"",IF(MID(P40,6,2)="12",LEFT(P40,4)+1&amp;"/"&amp;"1",LEFT(P40,4)&amp;"/"&amp;MID(P40,6,2)+1))</f>
        <v/>
      </c>
      <c r="S40" s="765"/>
      <c r="T40" s="764" t="str">
        <f ca="1">IF(OR(J13W計算シート!$C$13=SUMIF($H$41:S$45,"日数/回",$H$45:S$45),J13W計算シート!$C$12=0),"",IF(MID(R40,6,2)="12",LEFT(R40,4)+1&amp;"/"&amp;"1",LEFT(R40,4)&amp;"/"&amp;MID(R40,6,2)+1))</f>
        <v/>
      </c>
      <c r="U40" s="765"/>
      <c r="V40" s="764" t="str">
        <f ca="1">IF(OR(J13W計算シート!$C$13=SUMIF($H$41:U$45,"日数/回",$H$45:U$45),J13W計算シート!$C$12=0),"",IF(MID(T40,6,2)="12",LEFT(T40,4)+1&amp;"/"&amp;"1",LEFT(T40,4)&amp;"/"&amp;MID(T40,6,2)+1))</f>
        <v/>
      </c>
      <c r="W40" s="765"/>
      <c r="X40" s="764" t="str">
        <f ca="1">IF(OR(J13W計算シート!$C$13=SUMIF($H$41:W$45,"日数/回",$H$45:W$45),J13W計算シート!$C$12=0),"",IF(MID(V40,6,2)="12",LEFT(V40,4)+1&amp;"/"&amp;"1",LEFT(V40,4)&amp;"/"&amp;MID(V40,6,2)+1))</f>
        <v/>
      </c>
      <c r="Y40" s="765"/>
      <c r="Z40" s="764" t="str">
        <f ca="1">IF(OR(J13W計算シート!$C$13=SUMIF($H$41:Y$45,"日数/回",$H$45:Y$45),J13W計算シート!$C$12=0),"",IF(MID(X40,6,2)="12",LEFT(X40,4)+1&amp;"/"&amp;"1",LEFT(X40,4)&amp;"/"&amp;MID(X40,6,2)+1))</f>
        <v/>
      </c>
      <c r="AA40" s="765"/>
      <c r="AB40" s="764" t="str">
        <f ca="1">IF(OR(J13W計算シート!$C$13=SUMIF($H$41:AA$45,"日数/回",$H$45:AA$45),J13W計算シート!$C$12=0),"",IF(MID(Z40,6,2)="12",LEFT(Z40,4)+1&amp;"/"&amp;"1",LEFT(Z40,4)&amp;"/"&amp;MID(Z40,6,2)+1))</f>
        <v/>
      </c>
      <c r="AC40" s="765"/>
      <c r="AD40" s="764" t="str">
        <f ca="1">IF(OR(J13W計算シート!$C$13=SUMIF($H$41:AC$45,"日数/回",$H$45:AC$45),J13W計算シート!$C$12=0),"",IF(MID(AB40,6,2)="12",LEFT(AB40,4)+1&amp;"/"&amp;"1",LEFT(AB40,4)&amp;"/"&amp;MID(AB40,6,2)+1))</f>
        <v/>
      </c>
      <c r="AE40" s="766"/>
      <c r="AF40" s="477" t="s">
        <v>109</v>
      </c>
    </row>
    <row r="41" spans="2:32" ht="20.25" customHeight="1" thickBot="1">
      <c r="B41" s="482"/>
      <c r="C41" s="446"/>
      <c r="D41" s="90"/>
      <c r="E41" s="483"/>
      <c r="F41" s="484" t="s">
        <v>203</v>
      </c>
      <c r="G41" s="368" t="s">
        <v>30</v>
      </c>
      <c r="H41" s="369" t="s">
        <v>203</v>
      </c>
      <c r="I41" s="368" t="s">
        <v>30</v>
      </c>
      <c r="J41" s="369" t="s">
        <v>203</v>
      </c>
      <c r="K41" s="368" t="s">
        <v>30</v>
      </c>
      <c r="L41" s="369" t="s">
        <v>203</v>
      </c>
      <c r="M41" s="368" t="s">
        <v>30</v>
      </c>
      <c r="N41" s="369" t="s">
        <v>203</v>
      </c>
      <c r="O41" s="368" t="s">
        <v>30</v>
      </c>
      <c r="P41" s="370" t="s">
        <v>203</v>
      </c>
      <c r="Q41" s="368" t="s">
        <v>30</v>
      </c>
      <c r="R41" s="370" t="s">
        <v>203</v>
      </c>
      <c r="S41" s="368" t="s">
        <v>30</v>
      </c>
      <c r="T41" s="370" t="s">
        <v>203</v>
      </c>
      <c r="U41" s="368" t="s">
        <v>30</v>
      </c>
      <c r="V41" s="370" t="s">
        <v>203</v>
      </c>
      <c r="W41" s="368" t="s">
        <v>30</v>
      </c>
      <c r="X41" s="370" t="s">
        <v>203</v>
      </c>
      <c r="Y41" s="368" t="s">
        <v>30</v>
      </c>
      <c r="Z41" s="370" t="s">
        <v>203</v>
      </c>
      <c r="AA41" s="368" t="s">
        <v>30</v>
      </c>
      <c r="AB41" s="370" t="s">
        <v>203</v>
      </c>
      <c r="AC41" s="368" t="s">
        <v>30</v>
      </c>
      <c r="AD41" s="370" t="s">
        <v>203</v>
      </c>
      <c r="AE41" s="485" t="s">
        <v>30</v>
      </c>
      <c r="AF41" s="483"/>
    </row>
    <row r="42" spans="2:32" ht="21.75" customHeight="1">
      <c r="B42" s="758" t="s">
        <v>296</v>
      </c>
      <c r="C42" s="759"/>
      <c r="D42" s="760"/>
      <c r="E42" s="488" t="str">
        <f>J13W費用試算!$J$26</f>
        <v>補助対象外</v>
      </c>
      <c r="F42" s="489"/>
      <c r="G42" s="531" t="str">
        <f>J13W費用試算!$J$26</f>
        <v>補助対象外</v>
      </c>
      <c r="H42" s="491"/>
      <c r="I42" s="490"/>
      <c r="J42" s="491"/>
      <c r="K42" s="490"/>
      <c r="L42" s="491"/>
      <c r="M42" s="490"/>
      <c r="N42" s="491"/>
      <c r="O42" s="490"/>
      <c r="P42" s="491"/>
      <c r="Q42" s="490"/>
      <c r="R42" s="491"/>
      <c r="S42" s="490"/>
      <c r="T42" s="491"/>
      <c r="U42" s="490"/>
      <c r="V42" s="491"/>
      <c r="W42" s="490"/>
      <c r="X42" s="491"/>
      <c r="Y42" s="490"/>
      <c r="Z42" s="491"/>
      <c r="AA42" s="490"/>
      <c r="AB42" s="491"/>
      <c r="AC42" s="490"/>
      <c r="AD42" s="491"/>
      <c r="AE42" s="492"/>
      <c r="AF42" s="488" t="str">
        <f>$E$42</f>
        <v>補助対象外</v>
      </c>
    </row>
    <row r="43" spans="2:32" ht="21.75" customHeight="1">
      <c r="B43" s="755" t="s">
        <v>272</v>
      </c>
      <c r="C43" s="756"/>
      <c r="D43" s="757"/>
      <c r="E43" s="488">
        <f>J13W費用試算!$J$37</f>
        <v>0</v>
      </c>
      <c r="F43" s="489"/>
      <c r="G43" s="531">
        <f>J13W計算シート!$M$5</f>
        <v>0</v>
      </c>
      <c r="H43" s="491"/>
      <c r="I43" s="490">
        <f ca="1">SUMIF(J13W計算シート!$L$5:$M$7,H$40,J13W計算シート!$M$5:$M$7)</f>
        <v>0</v>
      </c>
      <c r="J43" s="491"/>
      <c r="K43" s="490">
        <f ca="1">SUMIF(J13W計算シート!$L$5:$M$7,J$40,J13W計算シート!$M$5:$M$7)</f>
        <v>0</v>
      </c>
      <c r="L43" s="491"/>
      <c r="M43" s="490">
        <f ca="1">SUMIF(J13W計算シート!$L$5:$M$7,L$40,J13W計算シート!$M$5:$M$7)</f>
        <v>0</v>
      </c>
      <c r="N43" s="491"/>
      <c r="O43" s="490">
        <f ca="1">SUMIF(J13W計算シート!$L$5:$M$7,N$40,J13W計算シート!$M$5:$M$7)</f>
        <v>0</v>
      </c>
      <c r="P43" s="491"/>
      <c r="Q43" s="490">
        <f ca="1">SUMIF(J13W計算シート!$L$5:$M$7,P$40,J13W計算シート!$M$5:$M$7)</f>
        <v>0</v>
      </c>
      <c r="R43" s="491"/>
      <c r="S43" s="490">
        <f ca="1">SUMIF(J13W計算シート!$L$5:$M$7,R$40,J13W計算シート!$M$5:$M$7)</f>
        <v>0</v>
      </c>
      <c r="T43" s="491"/>
      <c r="U43" s="490">
        <f ca="1">SUMIF(J13W計算シート!$L$5:$M$7,T$40,J13W計算シート!$M$5:$M$7)</f>
        <v>0</v>
      </c>
      <c r="V43" s="491"/>
      <c r="W43" s="490">
        <f ca="1">SUMIF(J13W計算シート!$L$5:$M$7,V$40,J13W計算シート!$M$5:$M$7)</f>
        <v>0</v>
      </c>
      <c r="X43" s="491"/>
      <c r="Y43" s="490">
        <f ca="1">SUMIF(J13W計算シート!$L$5:$M$7,X$40,J13W計算シート!$M$5:$M$7)</f>
        <v>0</v>
      </c>
      <c r="Z43" s="491"/>
      <c r="AA43" s="490">
        <f ca="1">SUMIF(J13W計算シート!$L$5:$M$7,Z$40,J13W計算シート!$M$5:$M$7)</f>
        <v>0</v>
      </c>
      <c r="AB43" s="491"/>
      <c r="AC43" s="490">
        <f ca="1">SUMIF(J13W計算シート!$L$5:$M$7,AB$40,J13W計算シート!$M$5:$M$7)</f>
        <v>0</v>
      </c>
      <c r="AD43" s="491"/>
      <c r="AE43" s="492">
        <f ca="1">SUMIF(J13W計算シート!$L$5:$M$7,AD$40,J13W計算シート!$M$5:$M$7)</f>
        <v>0</v>
      </c>
      <c r="AF43" s="488">
        <f ca="1">SUMIF($F$41:$AE43,"金額",$F43:$AE43)</f>
        <v>0</v>
      </c>
    </row>
    <row r="44" spans="2:32" ht="21.75" customHeight="1" thickBot="1">
      <c r="B44" s="722" t="s">
        <v>127</v>
      </c>
      <c r="C44" s="723"/>
      <c r="D44" s="724"/>
      <c r="E44" s="493">
        <f>IF(【実地研修中の宿泊】=3,J13W費用試算!$J$32,0)</f>
        <v>0</v>
      </c>
      <c r="F44" s="494"/>
      <c r="G44" s="495">
        <v>0</v>
      </c>
      <c r="H44" s="496">
        <f>IF(H$40="",0,IF(【実地研修中の宿泊】=3,IF(J13W計算シート!$C$12=0,0,VLOOKUP(H$40,【研修日数】,10,FALSE)),0))</f>
        <v>0</v>
      </c>
      <c r="I44" s="495">
        <f>J13W費用試算!$H$32*H44</f>
        <v>0</v>
      </c>
      <c r="J44" s="496">
        <f>IF(J$40="",0,IF(【実地研修中の宿泊】=3,IF(J13W計算シート!$C$12=0,0,VLOOKUP(J$40,【研修日数】,10,FALSE)),0))</f>
        <v>0</v>
      </c>
      <c r="K44" s="495">
        <f>J13W費用試算!$H$32*J44</f>
        <v>0</v>
      </c>
      <c r="L44" s="496">
        <f ca="1">IF(L$40="",0,IF(【実地研修中の宿泊】=3,IF(J13W計算シート!$C$12=0,0,VLOOKUP(L$40,【研修日数】,10,FALSE)),0))</f>
        <v>0</v>
      </c>
      <c r="M44" s="495">
        <f ca="1">J13W費用試算!$H$32*L44</f>
        <v>0</v>
      </c>
      <c r="N44" s="496">
        <f ca="1">IF(N$40="",0,IF(【実地研修中の宿泊】=3,IF(J13W計算シート!$C$12=0,0,VLOOKUP(N$40,【研修日数】,10,FALSE)),0))</f>
        <v>0</v>
      </c>
      <c r="O44" s="495">
        <f ca="1">J13W費用試算!$H$32*N44</f>
        <v>0</v>
      </c>
      <c r="P44" s="496">
        <f ca="1">IF(P$40="",0,IF(【実地研修中の宿泊】=3,IF(J13W計算シート!$C$12=0,0,VLOOKUP(P$40,【研修日数】,10,FALSE)),0))</f>
        <v>0</v>
      </c>
      <c r="Q44" s="497">
        <f ca="1">J13W費用試算!$H$32*P44</f>
        <v>0</v>
      </c>
      <c r="R44" s="496">
        <f ca="1">IF(R$40="",0,IF(【実地研修中の宿泊】=3,IF(J13W計算シート!$C$12=0,0,VLOOKUP(R$40,【研修日数】,10,FALSE)),0))</f>
        <v>0</v>
      </c>
      <c r="S44" s="497">
        <f ca="1">J13W費用試算!$H$32*R44</f>
        <v>0</v>
      </c>
      <c r="T44" s="496">
        <f ca="1">IF(T$40="",0,IF(【実地研修中の宿泊】=3,IF(J13W計算シート!$C$12=0,0,VLOOKUP(T$40,【研修日数】,10,FALSE)),0))</f>
        <v>0</v>
      </c>
      <c r="U44" s="497">
        <f ca="1">J13W費用試算!$H$32*T44</f>
        <v>0</v>
      </c>
      <c r="V44" s="496">
        <f ca="1">IF(V$40="",0,IF(【実地研修中の宿泊】=3,IF(J13W計算シート!$C$12=0,0,VLOOKUP(V$40,【研修日数】,10,FALSE)),0))</f>
        <v>0</v>
      </c>
      <c r="W44" s="497">
        <f ca="1">J13W費用試算!$H$32*V44</f>
        <v>0</v>
      </c>
      <c r="X44" s="496">
        <f ca="1">IF(X$40="",0,IF(【実地研修中の宿泊】=3,IF(J13W計算シート!$C$12=0,0,VLOOKUP(X$40,【研修日数】,10,FALSE)),0))</f>
        <v>0</v>
      </c>
      <c r="Y44" s="497">
        <f ca="1">J13W費用試算!$H$32*X44</f>
        <v>0</v>
      </c>
      <c r="Z44" s="496">
        <f ca="1">IF(Z$40="",0,IF(【実地研修中の宿泊】=3,IF(J13W計算シート!$C$12=0,0,VLOOKUP(Z$40,【研修日数】,10,FALSE)),0))</f>
        <v>0</v>
      </c>
      <c r="AA44" s="497">
        <f ca="1">J13W費用試算!$H$32*Z44</f>
        <v>0</v>
      </c>
      <c r="AB44" s="496">
        <f ca="1">IF(AB$40="",0,IF(【実地研修中の宿泊】=3,IF(J13W計算シート!$C$12=0,0,VLOOKUP(AB$40,【研修日数】,10,FALSE)),0))</f>
        <v>0</v>
      </c>
      <c r="AC44" s="497">
        <f ca="1">J13W費用試算!$H$32*AB44</f>
        <v>0</v>
      </c>
      <c r="AD44" s="496">
        <f ca="1">IF(AD$40="",0,IF(【実地研修中の宿泊】=3,IF(J13W計算シート!$C$12=0,0,VLOOKUP(AD$40,【研修日数】,10,FALSE)),0))</f>
        <v>0</v>
      </c>
      <c r="AE44" s="498">
        <f ca="1">J13W費用試算!$H$32*AD44</f>
        <v>0</v>
      </c>
      <c r="AF44" s="493">
        <f ca="1">SUMIF($F$41:$AE44,"金額",$F44:$AE44)</f>
        <v>0</v>
      </c>
    </row>
    <row r="45" spans="2:32" ht="21.75" customHeight="1" thickTop="1">
      <c r="B45" s="499" t="str">
        <f>"実地研修中食費（@"&amp;TEXT(J13W費用試算!$H$33,"#,###")&amp;"×"&amp;J13W費用試算!$I$33&amp;"日）"</f>
        <v>実地研修中食費（@3,100×92日）</v>
      </c>
      <c r="C45" s="374"/>
      <c r="D45" s="500"/>
      <c r="E45" s="501">
        <f>J13W費用試算!$J$33</f>
        <v>285200</v>
      </c>
      <c r="F45" s="502"/>
      <c r="G45" s="503">
        <v>0</v>
      </c>
      <c r="H45" s="504">
        <f>IF(H$40="",0,VLOOKUP(H$40,【研修日数】,10,FALSE))</f>
        <v>25</v>
      </c>
      <c r="I45" s="503">
        <f>J13W費用試算!$H$33*H45</f>
        <v>77500</v>
      </c>
      <c r="J45" s="504">
        <f>IF(J$40="",0,VLOOKUP(J$40,【研修日数】,10,FALSE))</f>
        <v>30</v>
      </c>
      <c r="K45" s="503">
        <f>J13W費用試算!$H$33*J45</f>
        <v>93000</v>
      </c>
      <c r="L45" s="504">
        <f ca="1">IF(L$40="",0,VLOOKUP(L$40,【研修日数】,10,FALSE))</f>
        <v>31</v>
      </c>
      <c r="M45" s="503">
        <f ca="1">J13W費用試算!$H$33*L45</f>
        <v>96100</v>
      </c>
      <c r="N45" s="504">
        <f ca="1">IF(N$40="",0,VLOOKUP(N$40,【研修日数】,10,FALSE))</f>
        <v>6</v>
      </c>
      <c r="O45" s="503">
        <f ca="1">J13W費用試算!$H$33*N45</f>
        <v>18600</v>
      </c>
      <c r="P45" s="504">
        <f ca="1">IF(P$40="",0,VLOOKUP(P$40,【研修日数】,10,FALSE))</f>
        <v>0</v>
      </c>
      <c r="Q45" s="505">
        <f ca="1">J13W費用試算!$H$33*P45</f>
        <v>0</v>
      </c>
      <c r="R45" s="504">
        <f ca="1">IF(R$40="",0,VLOOKUP(R$40,【研修日数】,10,FALSE))</f>
        <v>0</v>
      </c>
      <c r="S45" s="505">
        <f ca="1">J13W費用試算!$H$33*R45</f>
        <v>0</v>
      </c>
      <c r="T45" s="504">
        <f ca="1">IF(T$40="",0,VLOOKUP(T$40,【研修日数】,10,FALSE))</f>
        <v>0</v>
      </c>
      <c r="U45" s="505">
        <f ca="1">J13W費用試算!$H$33*T45</f>
        <v>0</v>
      </c>
      <c r="V45" s="504">
        <f ca="1">IF(V$40="",0,VLOOKUP(V$40,【研修日数】,10,FALSE))</f>
        <v>0</v>
      </c>
      <c r="W45" s="505">
        <f ca="1">J13W費用試算!$H$33*V45</f>
        <v>0</v>
      </c>
      <c r="X45" s="504">
        <f ca="1">IF(X$40="",0,VLOOKUP(X$40,【研修日数】,10,FALSE))</f>
        <v>0</v>
      </c>
      <c r="Y45" s="505">
        <f ca="1">J13W費用試算!$H$33*X45</f>
        <v>0</v>
      </c>
      <c r="Z45" s="504">
        <f ca="1">IF(Z$40="",0,VLOOKUP(Z$40,【研修日数】,10,FALSE))</f>
        <v>0</v>
      </c>
      <c r="AA45" s="505">
        <f ca="1">J13W費用試算!$H$33*Z45</f>
        <v>0</v>
      </c>
      <c r="AB45" s="504">
        <f ca="1">IF(AB$40="",0,VLOOKUP(AB$40,【研修日数】,10,FALSE))</f>
        <v>0</v>
      </c>
      <c r="AC45" s="505">
        <f ca="1">J13W費用試算!$H$33*AB45</f>
        <v>0</v>
      </c>
      <c r="AD45" s="504">
        <f ca="1">IF(AD$40="",0,VLOOKUP(AD$40,【研修日数】,10,FALSE))</f>
        <v>0</v>
      </c>
      <c r="AE45" s="506">
        <f ca="1">J13W費用試算!$H$33*AD45</f>
        <v>0</v>
      </c>
      <c r="AF45" s="501">
        <f ca="1">SUMIF($F$41:$AE45,"金額",$F45:$AE45)</f>
        <v>285200</v>
      </c>
    </row>
    <row r="46" spans="2:32" ht="21.75" customHeight="1" thickBot="1">
      <c r="B46" s="486" t="str">
        <f>"雑費（@"&amp;TEXT(J13W費用試算!$H$34,"#,###")&amp;"×"&amp;J13W計算シート!$C$6&amp;"日）"</f>
        <v>雑費（@1,000×184日）</v>
      </c>
      <c r="C46" s="450"/>
      <c r="D46" s="487"/>
      <c r="E46" s="507">
        <f>J13W費用試算!$J$34</f>
        <v>184000</v>
      </c>
      <c r="F46" s="508">
        <f>J13W計算シート!C9</f>
        <v>92</v>
      </c>
      <c r="G46" s="509">
        <f>J13W費用試算!$H$34*F46</f>
        <v>92000</v>
      </c>
      <c r="H46" s="510">
        <f>IF(H$40="",0,VLOOKUP(H$40,【研修日数】,10,FALSE))</f>
        <v>25</v>
      </c>
      <c r="I46" s="509">
        <f>J13W費用試算!$H$34*H46</f>
        <v>25000</v>
      </c>
      <c r="J46" s="510">
        <f>IF(J$40="",0,VLOOKUP(J$40,【研修日数】,10,FALSE))</f>
        <v>30</v>
      </c>
      <c r="K46" s="509">
        <f>J13W費用試算!$H$34*J46</f>
        <v>30000</v>
      </c>
      <c r="L46" s="510">
        <f ca="1">IF(L$40="",0,VLOOKUP(L$40,【研修日数】,10,FALSE))</f>
        <v>31</v>
      </c>
      <c r="M46" s="509">
        <f ca="1">J13W費用試算!$H$34*L46</f>
        <v>31000</v>
      </c>
      <c r="N46" s="510">
        <f ca="1">IF(N$40="",0,VLOOKUP(N$40,【研修日数】,10,FALSE))</f>
        <v>6</v>
      </c>
      <c r="O46" s="509">
        <f ca="1">J13W費用試算!$H$34*N46</f>
        <v>6000</v>
      </c>
      <c r="P46" s="510">
        <f ca="1">IF(P$40="",0,VLOOKUP(P$40,【研修日数】,10,FALSE))</f>
        <v>0</v>
      </c>
      <c r="Q46" s="509">
        <f ca="1">J13W費用試算!$H$34*P46</f>
        <v>0</v>
      </c>
      <c r="R46" s="510">
        <f ca="1">IF(R$40="",0,VLOOKUP(R$40,【研修日数】,10,FALSE))</f>
        <v>0</v>
      </c>
      <c r="S46" s="509">
        <f ca="1">J13W費用試算!$H$34*R46</f>
        <v>0</v>
      </c>
      <c r="T46" s="510">
        <f ca="1">IF(T$40="",0,VLOOKUP(T$40,【研修日数】,10,FALSE))</f>
        <v>0</v>
      </c>
      <c r="U46" s="509">
        <f ca="1">J13W費用試算!$H$34*T46</f>
        <v>0</v>
      </c>
      <c r="V46" s="510">
        <f ca="1">IF(V$40="",0,VLOOKUP(V$40,【研修日数】,10,FALSE))</f>
        <v>0</v>
      </c>
      <c r="W46" s="509">
        <f ca="1">J13W費用試算!$H$34*V46</f>
        <v>0</v>
      </c>
      <c r="X46" s="510">
        <f ca="1">IF(X$40="",0,VLOOKUP(X$40,【研修日数】,10,FALSE))</f>
        <v>0</v>
      </c>
      <c r="Y46" s="509">
        <f ca="1">J13W費用試算!$H$34*X46</f>
        <v>0</v>
      </c>
      <c r="Z46" s="510">
        <f ca="1">IF(Z$40="",0,VLOOKUP(Z$40,【研修日数】,10,FALSE))</f>
        <v>0</v>
      </c>
      <c r="AA46" s="509">
        <f ca="1">J13W費用試算!$H$34*Z46</f>
        <v>0</v>
      </c>
      <c r="AB46" s="510">
        <f ca="1">IF(AB$40="",0,VLOOKUP(AB$40,【研修日数】,10,FALSE))</f>
        <v>0</v>
      </c>
      <c r="AC46" s="509">
        <f ca="1">J13W費用試算!$H$34*AB46</f>
        <v>0</v>
      </c>
      <c r="AD46" s="510">
        <f ca="1">IF(AD$40="",0,VLOOKUP(AD$40,【研修日数】,10,FALSE))</f>
        <v>0</v>
      </c>
      <c r="AE46" s="511">
        <f ca="1">J13W費用試算!$H$34*AD46</f>
        <v>0</v>
      </c>
      <c r="AF46" s="507">
        <f ca="1">SUMIF($F$41:$AE46,"金額",$F46:$AE46)</f>
        <v>184000</v>
      </c>
    </row>
    <row r="47" spans="2:32" ht="30" customHeight="1" thickBot="1">
      <c r="B47" s="719" t="s">
        <v>4</v>
      </c>
      <c r="C47" s="720"/>
      <c r="D47" s="721"/>
      <c r="E47" s="512">
        <f>SUM(E42:E46)</f>
        <v>469200</v>
      </c>
      <c r="F47" s="513"/>
      <c r="G47" s="514">
        <f>SUM(G42:G46)</f>
        <v>92000</v>
      </c>
      <c r="H47" s="513"/>
      <c r="I47" s="514">
        <f ca="1">SUM(I42:I46)</f>
        <v>102500</v>
      </c>
      <c r="J47" s="513"/>
      <c r="K47" s="514">
        <f ca="1">SUM(K42:K46)</f>
        <v>123000</v>
      </c>
      <c r="L47" s="513"/>
      <c r="M47" s="514">
        <f ca="1">SUM(M42:M46)</f>
        <v>127100</v>
      </c>
      <c r="N47" s="513"/>
      <c r="O47" s="514">
        <f ca="1">SUM(O42:O46)</f>
        <v>24600</v>
      </c>
      <c r="P47" s="513"/>
      <c r="Q47" s="514">
        <f ca="1">SUM(Q42:Q46)</f>
        <v>0</v>
      </c>
      <c r="R47" s="513"/>
      <c r="S47" s="514">
        <f ca="1">SUM(S42:S46)</f>
        <v>0</v>
      </c>
      <c r="T47" s="513"/>
      <c r="U47" s="514">
        <f ca="1">SUM(U42:U46)</f>
        <v>0</v>
      </c>
      <c r="V47" s="513"/>
      <c r="W47" s="514">
        <f ca="1">SUM(W42:W46)</f>
        <v>0</v>
      </c>
      <c r="X47" s="513"/>
      <c r="Y47" s="514">
        <f ca="1">SUM(Y42:Y46)</f>
        <v>0</v>
      </c>
      <c r="Z47" s="513"/>
      <c r="AA47" s="514">
        <f ca="1">SUM(AA42:AA46)</f>
        <v>0</v>
      </c>
      <c r="AB47" s="513"/>
      <c r="AC47" s="514">
        <f ca="1">SUM(AC42:AC46)</f>
        <v>0</v>
      </c>
      <c r="AD47" s="513"/>
      <c r="AE47" s="515">
        <f ca="1">SUM(AE42:AE46)</f>
        <v>0</v>
      </c>
      <c r="AF47" s="512">
        <f ca="1">SUM(AF42:AF46)</f>
        <v>469200</v>
      </c>
    </row>
    <row r="48" spans="2:32" ht="20.100000000000001" customHeight="1">
      <c r="B48" s="1" t="s">
        <v>271</v>
      </c>
      <c r="C48" s="1"/>
      <c r="D48" s="1"/>
      <c r="E48" s="463"/>
      <c r="F48" s="467"/>
      <c r="G48" s="467"/>
      <c r="H48" s="463"/>
      <c r="I48" s="463"/>
      <c r="J48" s="463"/>
      <c r="K48" s="463"/>
      <c r="L48" s="463"/>
      <c r="M48" s="463"/>
      <c r="N48" s="463"/>
      <c r="O48" s="463"/>
      <c r="P48" s="463"/>
      <c r="Q48" s="463"/>
      <c r="R48" s="463"/>
      <c r="S48" s="463"/>
      <c r="T48" s="463"/>
      <c r="U48" s="463"/>
      <c r="V48" s="463"/>
      <c r="W48" s="463"/>
      <c r="X48" s="463"/>
      <c r="Y48" s="463"/>
      <c r="Z48" s="463"/>
      <c r="AA48" s="463"/>
      <c r="AB48" s="463"/>
      <c r="AC48" s="463"/>
      <c r="AD48" s="467"/>
      <c r="AE48" s="467"/>
      <c r="AF48" s="1"/>
    </row>
    <row r="49" spans="5:29" ht="13.5" customHeight="1">
      <c r="E49" s="465"/>
      <c r="H49" s="465"/>
      <c r="I49" s="465"/>
      <c r="J49" s="465"/>
      <c r="K49" s="465"/>
      <c r="L49" s="465"/>
      <c r="M49" s="465"/>
      <c r="N49" s="465"/>
      <c r="O49" s="465"/>
      <c r="P49" s="465"/>
      <c r="Q49" s="465"/>
      <c r="R49" s="465"/>
      <c r="S49" s="465"/>
      <c r="T49" s="465"/>
      <c r="U49" s="465"/>
      <c r="V49" s="465"/>
      <c r="W49" s="465"/>
      <c r="X49" s="465"/>
      <c r="Y49" s="465"/>
      <c r="Z49" s="465"/>
      <c r="AA49" s="465"/>
      <c r="AB49" s="465"/>
      <c r="AC49" s="465"/>
    </row>
    <row r="50" spans="5:29" ht="13.5" customHeight="1">
      <c r="E50" s="465"/>
      <c r="H50" s="465"/>
      <c r="I50" s="465"/>
      <c r="J50" s="465"/>
      <c r="K50" s="465"/>
      <c r="L50" s="465"/>
      <c r="M50" s="465"/>
      <c r="N50" s="465"/>
      <c r="O50" s="465"/>
      <c r="P50" s="465"/>
      <c r="Q50" s="465"/>
      <c r="R50" s="465"/>
      <c r="S50" s="465"/>
      <c r="T50" s="465"/>
      <c r="U50" s="465"/>
      <c r="V50" s="465"/>
      <c r="W50" s="465"/>
      <c r="X50" s="465"/>
      <c r="Y50" s="465"/>
      <c r="Z50" s="465"/>
      <c r="AA50" s="465"/>
      <c r="AB50" s="465"/>
      <c r="AC50" s="465"/>
    </row>
    <row r="51" spans="5:29" ht="20.100000000000001" customHeight="1">
      <c r="E51" s="465"/>
      <c r="H51" s="465"/>
      <c r="I51" s="465"/>
      <c r="J51" s="465"/>
      <c r="K51" s="465"/>
      <c r="L51" s="465"/>
      <c r="M51" s="465"/>
      <c r="N51" s="465"/>
      <c r="O51" s="465"/>
      <c r="P51" s="465"/>
      <c r="Q51" s="465"/>
      <c r="R51" s="465"/>
      <c r="S51" s="465"/>
      <c r="T51" s="465"/>
      <c r="U51" s="465"/>
      <c r="V51" s="465"/>
      <c r="W51" s="465"/>
      <c r="X51" s="465"/>
      <c r="Y51" s="465"/>
      <c r="Z51" s="465"/>
      <c r="AA51" s="465"/>
      <c r="AB51" s="465"/>
      <c r="AC51" s="465"/>
    </row>
  </sheetData>
  <sheetProtection sheet="1" formatCells="0"/>
  <mergeCells count="84">
    <mergeCell ref="B43:D43"/>
    <mergeCell ref="B42:D42"/>
    <mergeCell ref="AD32:AE32"/>
    <mergeCell ref="F39:G39"/>
    <mergeCell ref="J40:K40"/>
    <mergeCell ref="L40:M40"/>
    <mergeCell ref="N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AD30:AE30"/>
    <mergeCell ref="A31:D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Z31:AA31"/>
    <mergeCell ref="AB31:AC31"/>
    <mergeCell ref="AD31:AE31"/>
    <mergeCell ref="T30:U30"/>
    <mergeCell ref="V30:W30"/>
    <mergeCell ref="X30:Y30"/>
    <mergeCell ref="Z30:AA30"/>
    <mergeCell ref="AB30:AC30"/>
    <mergeCell ref="J30:K30"/>
    <mergeCell ref="L30:M30"/>
    <mergeCell ref="N30:O30"/>
    <mergeCell ref="P30:Q30"/>
    <mergeCell ref="R30:S30"/>
    <mergeCell ref="A27:A29"/>
    <mergeCell ref="B29:D29"/>
    <mergeCell ref="A30:D30"/>
    <mergeCell ref="F30:G30"/>
    <mergeCell ref="H30:I30"/>
    <mergeCell ref="L7:M7"/>
    <mergeCell ref="N6:O6"/>
    <mergeCell ref="C3:D3"/>
    <mergeCell ref="A20:A26"/>
    <mergeCell ref="B21:B23"/>
    <mergeCell ref="C21:C22"/>
    <mergeCell ref="B26:D26"/>
    <mergeCell ref="B47:D47"/>
    <mergeCell ref="B44:D44"/>
    <mergeCell ref="AB7:AC7"/>
    <mergeCell ref="AB6:AC6"/>
    <mergeCell ref="Z7:AA7"/>
    <mergeCell ref="Z6:AA6"/>
    <mergeCell ref="X7:Y7"/>
    <mergeCell ref="X6:Y6"/>
    <mergeCell ref="P7:Q7"/>
    <mergeCell ref="P6:Q6"/>
    <mergeCell ref="V7:W7"/>
    <mergeCell ref="V6:W6"/>
    <mergeCell ref="T7:U7"/>
    <mergeCell ref="T6:U6"/>
    <mergeCell ref="R7:S7"/>
    <mergeCell ref="R6:S6"/>
    <mergeCell ref="F1:G1"/>
    <mergeCell ref="A12:A19"/>
    <mergeCell ref="B19:D19"/>
    <mergeCell ref="AF6:AF7"/>
    <mergeCell ref="AD7:AE7"/>
    <mergeCell ref="AD6:AE6"/>
    <mergeCell ref="F7:G7"/>
    <mergeCell ref="A11:D11"/>
    <mergeCell ref="N7:O7"/>
    <mergeCell ref="B4:C4"/>
    <mergeCell ref="L6:M6"/>
    <mergeCell ref="F6:G6"/>
    <mergeCell ref="J7:K7"/>
    <mergeCell ref="J6:K6"/>
    <mergeCell ref="H7:I7"/>
    <mergeCell ref="H6:I6"/>
  </mergeCells>
  <phoneticPr fontId="2"/>
  <conditionalFormatting sqref="F31:G31">
    <cfRule type="cellIs" dxfId="27" priority="5" stopIfTrue="1" operator="greaterThan">
      <formula>0</formula>
    </cfRule>
    <cfRule type="expression" dxfId="26" priority="6" stopIfTrue="1">
      <formula>AND($F$31&lt;&gt;"",$H$31="")</formula>
    </cfRule>
  </conditionalFormatting>
  <conditionalFormatting sqref="F8:AE10 F13:AE18 F20:AE25 F27:AE28 F42:AE47">
    <cfRule type="cellIs" dxfId="25" priority="3" stopIfTrue="1" operator="equal">
      <formula>0</formula>
    </cfRule>
  </conditionalFormatting>
  <conditionalFormatting sqref="F19:AE19 F26:AE26 F29:AE29 F30 H30 J30 L30 N30 P30 R30 T30 V30 X30 Z30 AB30 AD30">
    <cfRule type="cellIs" dxfId="24" priority="4" stopIfTrue="1" operator="equal">
      <formula>0</formula>
    </cfRule>
  </conditionalFormatting>
  <conditionalFormatting sqref="H31:I31">
    <cfRule type="expression" dxfId="23" priority="7" stopIfTrue="1">
      <formula>AND($F$31&lt;0,$H$31&gt;0,$H$31&lt;&gt;"")</formula>
    </cfRule>
    <cfRule type="expression" dxfId="22" priority="8" stopIfTrue="1">
      <formula>AND($H$31&lt;&gt;"",$J$31="")</formula>
    </cfRule>
  </conditionalFormatting>
  <conditionalFormatting sqref="J31:K31">
    <cfRule type="expression" dxfId="21" priority="9" stopIfTrue="1">
      <formula>AND($H$31&lt;0,$J$31&gt;0,$J$31&lt;&gt;"")</formula>
    </cfRule>
    <cfRule type="expression" dxfId="20" priority="10" stopIfTrue="1">
      <formula>AND($J$31&lt;&gt;"",$L$31="")</formula>
    </cfRule>
  </conditionalFormatting>
  <conditionalFormatting sqref="L31:M31">
    <cfRule type="expression" dxfId="19" priority="11" stopIfTrue="1">
      <formula>AND($J$31&lt;0,$L$31&gt;0,$L$31&lt;&gt;"")</formula>
    </cfRule>
    <cfRule type="expression" dxfId="18" priority="12" stopIfTrue="1">
      <formula>AND($L$31&lt;&gt;"",$N$31="")</formula>
    </cfRule>
  </conditionalFormatting>
  <conditionalFormatting sqref="N31:O31">
    <cfRule type="expression" dxfId="17" priority="13" stopIfTrue="1">
      <formula>AND($L$31&lt;0,$N$31&gt;0,$N$31&lt;&gt;"")</formula>
    </cfRule>
    <cfRule type="expression" dxfId="16" priority="14" stopIfTrue="1">
      <formula>AND($N$31&lt;&gt;"",$P$31="")</formula>
    </cfRule>
  </conditionalFormatting>
  <conditionalFormatting sqref="P31:Q31">
    <cfRule type="expression" dxfId="15" priority="15" stopIfTrue="1">
      <formula>AND($N$31&lt;0,$P$31&gt;0,$P$31&lt;&gt;"")</formula>
    </cfRule>
    <cfRule type="expression" dxfId="14" priority="16" stopIfTrue="1">
      <formula>AND($P$31&lt;&gt;"",$R$31="")</formula>
    </cfRule>
  </conditionalFormatting>
  <conditionalFormatting sqref="R31:S31">
    <cfRule type="expression" dxfId="13" priority="17" stopIfTrue="1">
      <formula>AND($P$31&lt;0,$R$31&gt;0,$R$31&lt;&gt;"")</formula>
    </cfRule>
    <cfRule type="expression" dxfId="12" priority="18" stopIfTrue="1">
      <formula>AND($R$31&lt;&gt;"",$T$31="")</formula>
    </cfRule>
  </conditionalFormatting>
  <conditionalFormatting sqref="T31:U31">
    <cfRule type="expression" dxfId="11" priority="19" stopIfTrue="1">
      <formula>AND($R$31&lt;0,$T$31&gt;0,$T$31&lt;&gt;"")</formula>
    </cfRule>
    <cfRule type="expression" dxfId="10" priority="20" stopIfTrue="1">
      <formula>AND($T$31&lt;&gt;"",$V$31="")</formula>
    </cfRule>
  </conditionalFormatting>
  <conditionalFormatting sqref="V31:W31">
    <cfRule type="expression" dxfId="9" priority="21" stopIfTrue="1">
      <formula>AND($T$31&lt;0,$V$31&gt;0,$V$31&lt;&gt;"")</formula>
    </cfRule>
    <cfRule type="expression" dxfId="8" priority="22" stopIfTrue="1">
      <formula>AND($V$31&lt;&gt;"",$X$31="")</formula>
    </cfRule>
  </conditionalFormatting>
  <conditionalFormatting sqref="X31:Y31">
    <cfRule type="expression" dxfId="7" priority="23" stopIfTrue="1">
      <formula>AND($V$31&lt;0,$X$31&gt;0,$X$31&lt;&gt;"")</formula>
    </cfRule>
    <cfRule type="expression" dxfId="6" priority="24" stopIfTrue="1">
      <formula>AND($X$31&lt;&gt;"",$Z$31="")</formula>
    </cfRule>
  </conditionalFormatting>
  <conditionalFormatting sqref="Z31:AA31">
    <cfRule type="expression" dxfId="5" priority="25" stopIfTrue="1">
      <formula>AND($X$31&lt;0,$Z$31&gt;0,$Z$31&lt;&gt;"")</formula>
    </cfRule>
    <cfRule type="expression" dxfId="4" priority="26" stopIfTrue="1">
      <formula>AND($Z$31&lt;&gt;"",$AB$31="")</formula>
    </cfRule>
  </conditionalFormatting>
  <conditionalFormatting sqref="AB31:AC31">
    <cfRule type="expression" dxfId="3" priority="27" stopIfTrue="1">
      <formula>AND($Z$31&lt;0,$AB$31&gt;0,$AB$31&lt;&gt;"")</formula>
    </cfRule>
    <cfRule type="expression" dxfId="2" priority="28" stopIfTrue="1">
      <formula>AND($AB$31&lt;&gt;"",$AD$31="")</formula>
    </cfRule>
  </conditionalFormatting>
  <conditionalFormatting sqref="AD31:AE31">
    <cfRule type="expression" dxfId="1" priority="29" stopIfTrue="1">
      <formula>AND($AB$31&lt;0,$AD$31&gt;0,$AD$31&lt;&gt;"")</formula>
    </cfRule>
    <cfRule type="expression" dxfId="0" priority="30" stopIfTrue="1">
      <formula>$AD$30&gt;0</formula>
    </cfRule>
  </conditionalFormatting>
  <dataValidations count="1">
    <dataValidation type="date" imeMode="off" operator="greaterThanOrEqual" allowBlank="1" showErrorMessage="1" sqref="C3 F1" xr:uid="{00000000-0002-0000-0100-000000000000}">
      <formula1>1</formula1>
    </dataValidation>
  </dataValidations>
  <printOptions horizontalCentered="1"/>
  <pageMargins left="0.39370078740157483" right="0.39370078740157483" top="0.74803149606299213" bottom="0.27559055118110237" header="0.35433070866141736" footer="0"/>
  <pageSetup paperSize="8" scale="75" pageOrder="overThenDown" orientation="landscape" verticalDpi="300" r:id="rId1"/>
  <headerFooter alignWithMargins="0">
    <oddHeader>&amp;R月別受入費等明細（J13W）：2025年度版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X188"/>
  <sheetViews>
    <sheetView showGridLines="0" topLeftCell="A5" zoomScaleNormal="100" workbookViewId="0">
      <selection activeCell="D47" sqref="D47:D48"/>
    </sheetView>
  </sheetViews>
  <sheetFormatPr defaultColWidth="10.625" defaultRowHeight="13.5" customHeight="1"/>
  <cols>
    <col min="1" max="1" width="3" style="1" customWidth="1"/>
    <col min="2" max="2" width="13.125" style="1" customWidth="1"/>
    <col min="3" max="3" width="31.125" style="1" customWidth="1"/>
    <col min="4" max="16384" width="10.625" style="1"/>
  </cols>
  <sheetData>
    <row r="1" spans="1:24" ht="13.5" customHeight="1">
      <c r="A1" s="2"/>
      <c r="B1" s="1" t="s">
        <v>112</v>
      </c>
    </row>
    <row r="2" spans="1:24" ht="13.5" customHeight="1">
      <c r="B2" s="147" t="s">
        <v>213</v>
      </c>
    </row>
    <row r="3" spans="1:24" ht="13.5" customHeight="1" thickBot="1">
      <c r="B3" s="1" t="s">
        <v>27</v>
      </c>
      <c r="K3" s="1" t="s">
        <v>131</v>
      </c>
      <c r="Q3" s="1" t="s">
        <v>129</v>
      </c>
      <c r="S3"/>
    </row>
    <row r="4" spans="1:24" ht="13.5" customHeight="1" thickBot="1">
      <c r="B4" s="127" t="s">
        <v>94</v>
      </c>
      <c r="C4" s="128" t="s">
        <v>95</v>
      </c>
      <c r="D4" s="773" t="s">
        <v>48</v>
      </c>
      <c r="E4" s="774"/>
      <c r="K4" s="131"/>
      <c r="L4" s="132"/>
      <c r="M4" s="128" t="s">
        <v>30</v>
      </c>
      <c r="N4" s="773" t="s">
        <v>48</v>
      </c>
      <c r="O4" s="775"/>
      <c r="Q4" s="780" t="s">
        <v>115</v>
      </c>
      <c r="R4" s="776" t="s">
        <v>116</v>
      </c>
      <c r="S4" s="777"/>
      <c r="X4"/>
    </row>
    <row r="5" spans="1:24" ht="13.5" customHeight="1" thickTop="1" thickBot="1">
      <c r="B5" s="81" t="s">
        <v>76</v>
      </c>
      <c r="C5" s="82">
        <f>$C$8-1</f>
        <v>45784</v>
      </c>
      <c r="D5" s="83" t="s">
        <v>107</v>
      </c>
      <c r="E5" s="84">
        <f>YEAR(DATE(YEAR(C5),MONTH(C5)-2,0))</f>
        <v>2025</v>
      </c>
      <c r="K5" s="39" t="str">
        <f>MATCH(L5,$N$15:$N$27,0)&amp;"ヶ月目"</f>
        <v>1ヶ月目</v>
      </c>
      <c r="L5" s="85" t="str">
        <f>VLOOKUP(YEAR(C5)&amp;"/"&amp;MONTH(C5),【研修日数】,1,FALSE)</f>
        <v>2025/5</v>
      </c>
      <c r="M5" s="32">
        <f>J13W費用試算!$M$14</f>
        <v>0</v>
      </c>
      <c r="N5" s="38" t="s">
        <v>132</v>
      </c>
      <c r="O5" s="40" t="str">
        <f>VLOOKUP(B46,【日程表】,5,FALSE)</f>
        <v>TKC</v>
      </c>
      <c r="Q5" s="781"/>
      <c r="R5" s="151" t="s">
        <v>117</v>
      </c>
      <c r="S5" s="133" t="s">
        <v>123</v>
      </c>
      <c r="X5"/>
    </row>
    <row r="6" spans="1:24" ht="13.5" customHeight="1" thickTop="1">
      <c r="B6" s="5" t="s">
        <v>7</v>
      </c>
      <c r="C6" s="135">
        <f>J13W費用試算!$F$12</f>
        <v>184</v>
      </c>
      <c r="D6" s="6"/>
      <c r="E6" s="7"/>
      <c r="K6" s="86" t="str">
        <f>IF(L6="","",MATCH(L6,$N$15:$N$27,0)&amp;"ヶ月目")</f>
        <v>4ヶ月目</v>
      </c>
      <c r="L6" s="85" t="str">
        <f>IF(C10=0,"",VLOOKUP(YEAR(C10)&amp;"/"&amp;MONTH(C10),【研修日数】,1,FALSE))</f>
        <v>2025/8</v>
      </c>
      <c r="M6" s="32">
        <f>J13W費用試算!$M$15</f>
        <v>0</v>
      </c>
      <c r="N6" s="87" t="s">
        <v>120</v>
      </c>
      <c r="O6" s="40"/>
      <c r="Q6" s="91" t="s">
        <v>118</v>
      </c>
      <c r="R6" s="92">
        <v>0</v>
      </c>
      <c r="S6" s="93"/>
      <c r="X6"/>
    </row>
    <row r="7" spans="1:24" ht="13.5" customHeight="1" thickBot="1">
      <c r="B7" s="67" t="s">
        <v>8</v>
      </c>
      <c r="C7" s="585" t="str">
        <f>VLOOKUP(B46,【日程表】,2,FALSE)</f>
        <v>2025/05/08～2025/08/06(91日・TKC)</v>
      </c>
      <c r="D7" s="584" t="s">
        <v>278</v>
      </c>
      <c r="E7" s="68"/>
      <c r="K7" s="41" t="str">
        <f>MATCH(L7,$N$15:$N$27,0)&amp;"ヶ月目"</f>
        <v>7ヶ月目</v>
      </c>
      <c r="L7" s="29" t="str">
        <f>VLOOKUP(YEAR(C14)&amp;"/"&amp;MONTH(C14),【研修日数】,1,FALSE)</f>
        <v>2025/11</v>
      </c>
      <c r="M7" s="30">
        <f>J13W費用試算!$M$16</f>
        <v>0</v>
      </c>
      <c r="N7" s="31" t="s">
        <v>121</v>
      </c>
      <c r="O7" s="42"/>
      <c r="Q7" s="35" t="s">
        <v>119</v>
      </c>
      <c r="R7" s="36"/>
      <c r="S7" s="37">
        <v>0</v>
      </c>
      <c r="X7"/>
    </row>
    <row r="8" spans="1:24" ht="13.5" customHeight="1" thickBot="1">
      <c r="B8" s="20" t="s">
        <v>56</v>
      </c>
      <c r="C8" s="23">
        <f>VLOOKUP($B$46,【日程表】,3,FALSE)</f>
        <v>45785</v>
      </c>
      <c r="D8" s="25"/>
      <c r="E8" s="26"/>
      <c r="K8" s="778" t="s">
        <v>4</v>
      </c>
      <c r="L8" s="779"/>
      <c r="M8" s="88">
        <f>SUM(M5:M7)</f>
        <v>0</v>
      </c>
      <c r="N8" s="89"/>
      <c r="O8" s="90"/>
      <c r="X8"/>
    </row>
    <row r="9" spans="1:24" ht="13.5" customHeight="1">
      <c r="B9" s="77" t="s">
        <v>110</v>
      </c>
      <c r="C9" s="78">
        <f>VLOOKUP(B46,【日程表】,6,FALSE)</f>
        <v>92</v>
      </c>
      <c r="D9" s="79" t="s">
        <v>96</v>
      </c>
      <c r="E9" s="80"/>
      <c r="X9"/>
    </row>
    <row r="10" spans="1:24" ht="13.5" customHeight="1">
      <c r="B10" s="21" t="s">
        <v>57</v>
      </c>
      <c r="C10" s="24">
        <f>VLOOKUP($B$46,【日程表】,4,FALSE)</f>
        <v>45875</v>
      </c>
      <c r="D10" s="27"/>
      <c r="E10" s="28"/>
      <c r="X10"/>
    </row>
    <row r="11" spans="1:24" ht="13.5" customHeight="1" thickBot="1">
      <c r="B11" s="144" t="s">
        <v>207</v>
      </c>
      <c r="C11" s="145">
        <f>IF(C9&gt;11,$C$10-13,"")</f>
        <v>45862</v>
      </c>
      <c r="D11" s="145">
        <f>IF(C11="","",$C$11+2)</f>
        <v>45864</v>
      </c>
      <c r="E11" s="146"/>
      <c r="K11" s="1" t="s">
        <v>28</v>
      </c>
      <c r="L11" s="3"/>
      <c r="P11"/>
      <c r="X11"/>
    </row>
    <row r="12" spans="1:24" ht="13.5" customHeight="1">
      <c r="B12" s="69" t="s">
        <v>54</v>
      </c>
      <c r="C12" s="70">
        <f>IF(C13=0,0,C10+1)</f>
        <v>45876</v>
      </c>
      <c r="D12" s="71"/>
      <c r="E12" s="72"/>
      <c r="K12" s="785"/>
      <c r="L12" s="767" t="s">
        <v>100</v>
      </c>
      <c r="M12" s="767" t="s">
        <v>101</v>
      </c>
      <c r="N12" s="767" t="s">
        <v>104</v>
      </c>
      <c r="O12" s="767" t="s">
        <v>103</v>
      </c>
      <c r="P12" s="782" t="s">
        <v>102</v>
      </c>
      <c r="Q12" s="767" t="s">
        <v>67</v>
      </c>
      <c r="R12" s="767" t="s">
        <v>59</v>
      </c>
      <c r="S12" s="767" t="s">
        <v>97</v>
      </c>
      <c r="T12" s="782" t="s">
        <v>157</v>
      </c>
      <c r="U12" s="767" t="s">
        <v>61</v>
      </c>
      <c r="V12" s="767" t="s">
        <v>63</v>
      </c>
      <c r="W12" s="770" t="s">
        <v>62</v>
      </c>
      <c r="X12"/>
    </row>
    <row r="13" spans="1:24" ht="13.5" customHeight="1">
      <c r="B13" s="21" t="s">
        <v>110</v>
      </c>
      <c r="C13" s="22">
        <f>$C$6-$C$9</f>
        <v>92</v>
      </c>
      <c r="D13" s="27"/>
      <c r="E13" s="28"/>
      <c r="K13" s="786"/>
      <c r="L13" s="768"/>
      <c r="M13" s="768"/>
      <c r="N13" s="768"/>
      <c r="O13" s="768"/>
      <c r="P13" s="783"/>
      <c r="Q13" s="768"/>
      <c r="R13" s="768"/>
      <c r="S13" s="768"/>
      <c r="T13" s="783"/>
      <c r="U13" s="768"/>
      <c r="V13" s="768"/>
      <c r="W13" s="771"/>
      <c r="X13"/>
    </row>
    <row r="14" spans="1:24" ht="13.5" customHeight="1" thickBot="1">
      <c r="B14" s="73" t="s">
        <v>105</v>
      </c>
      <c r="C14" s="74">
        <f>C10+C13</f>
        <v>45967</v>
      </c>
      <c r="D14" s="75" t="s">
        <v>107</v>
      </c>
      <c r="E14" s="76">
        <f>YEAR(DATE(YEAR(C14),MONTH(C14)-2,0))</f>
        <v>2025</v>
      </c>
      <c r="K14" s="787"/>
      <c r="L14" s="769"/>
      <c r="M14" s="769"/>
      <c r="N14" s="769"/>
      <c r="O14" s="769"/>
      <c r="P14" s="784"/>
      <c r="Q14" s="769"/>
      <c r="R14" s="769"/>
      <c r="S14" s="769"/>
      <c r="T14" s="784"/>
      <c r="U14" s="769"/>
      <c r="V14" s="769"/>
      <c r="W14" s="772"/>
      <c r="X14"/>
    </row>
    <row r="15" spans="1:24" ht="13.5" customHeight="1" thickTop="1">
      <c r="K15" s="94" t="s">
        <v>12</v>
      </c>
      <c r="L15" s="95">
        <f>YEAR(C5)</f>
        <v>2025</v>
      </c>
      <c r="M15" s="96">
        <f>MONTH(C5)</f>
        <v>5</v>
      </c>
      <c r="N15" s="97" t="str">
        <f t="shared" ref="N15:N27" si="0">L15&amp;"/"&amp;M15</f>
        <v>2025/5</v>
      </c>
      <c r="O15" s="96">
        <f t="shared" ref="O15:O27" si="1">VLOOKUP(M15,【月別標準日数】,3,FALSE)</f>
        <v>31</v>
      </c>
      <c r="P15" s="82">
        <f t="shared" ref="P15:P27" si="2">DATE(L15,M15,O15)</f>
        <v>45808</v>
      </c>
      <c r="Q15" s="98" t="str">
        <f t="shared" ref="Q15:Q27" si="3">IF(OR(MOD(YEAR(P15),400)=0,AND(MOD(YEAR(P15),4)=0,MOD(YEAR(P15),100)&lt;&gt;0,MONTH(P15)=2)),"○","×")</f>
        <v>×</v>
      </c>
      <c r="R15" s="99">
        <f t="shared" ref="R15:R27" si="4">IF(Q15="×",P15,P15+1)</f>
        <v>45808</v>
      </c>
      <c r="S15" s="100">
        <f t="shared" ref="S15:S27" si="5">DAY(R15)</f>
        <v>31</v>
      </c>
      <c r="T15" s="101">
        <f t="shared" ref="T15:T27" si="6">DATEDIF($C$5,R15,"D")+1</f>
        <v>25</v>
      </c>
      <c r="U15" s="102">
        <f>IF(T15&gt;=$C$6,$C$6,T15)</f>
        <v>25</v>
      </c>
      <c r="V15" s="102">
        <f>U15</f>
        <v>25</v>
      </c>
      <c r="W15" s="103">
        <f t="shared" ref="W15:W27" si="7">U15-V15</f>
        <v>0</v>
      </c>
      <c r="X15"/>
    </row>
    <row r="16" spans="1:24" ht="13.5" customHeight="1" thickBot="1">
      <c r="K16" s="9" t="s">
        <v>13</v>
      </c>
      <c r="L16" s="10">
        <f t="shared" ref="L16:L27" si="8">IF(M15=12,L15+1,L15)</f>
        <v>2025</v>
      </c>
      <c r="M16" s="11">
        <f t="shared" ref="M16:M27" si="9">IF(M15=12,1,M15+1)</f>
        <v>6</v>
      </c>
      <c r="N16" s="12" t="str">
        <f t="shared" si="0"/>
        <v>2025/6</v>
      </c>
      <c r="O16" s="11">
        <f t="shared" si="1"/>
        <v>30</v>
      </c>
      <c r="P16" s="8">
        <f t="shared" si="2"/>
        <v>45838</v>
      </c>
      <c r="Q16" s="13" t="str">
        <f t="shared" si="3"/>
        <v>×</v>
      </c>
      <c r="R16" s="14">
        <f t="shared" si="4"/>
        <v>45838</v>
      </c>
      <c r="S16" s="15">
        <f t="shared" si="5"/>
        <v>30</v>
      </c>
      <c r="T16" s="16">
        <f t="shared" si="6"/>
        <v>55</v>
      </c>
      <c r="U16" s="17">
        <f>IF(U15=$C$6,0,IF(T16&gt;$C$6,$C$6-T15,S16))</f>
        <v>30</v>
      </c>
      <c r="V16" s="17">
        <f>IF(($C$9-V15)&gt;U16,U16,($C$9-V15))</f>
        <v>30</v>
      </c>
      <c r="W16" s="18">
        <f t="shared" si="7"/>
        <v>0</v>
      </c>
    </row>
    <row r="17" spans="1:23" ht="13.5" customHeight="1">
      <c r="B17" s="129" t="s">
        <v>146</v>
      </c>
      <c r="C17" s="122" t="s">
        <v>143</v>
      </c>
      <c r="D17" s="590">
        <v>800</v>
      </c>
      <c r="H17" s="3"/>
      <c r="I17" s="3"/>
      <c r="J17" s="3"/>
      <c r="K17" s="9" t="s">
        <v>14</v>
      </c>
      <c r="L17" s="10">
        <f t="shared" si="8"/>
        <v>2025</v>
      </c>
      <c r="M17" s="11">
        <f t="shared" si="9"/>
        <v>7</v>
      </c>
      <c r="N17" s="12" t="str">
        <f t="shared" si="0"/>
        <v>2025/7</v>
      </c>
      <c r="O17" s="11">
        <f t="shared" si="1"/>
        <v>31</v>
      </c>
      <c r="P17" s="8">
        <f t="shared" si="2"/>
        <v>45869</v>
      </c>
      <c r="Q17" s="13" t="str">
        <f t="shared" si="3"/>
        <v>×</v>
      </c>
      <c r="R17" s="14">
        <f t="shared" si="4"/>
        <v>45869</v>
      </c>
      <c r="S17" s="15">
        <f t="shared" si="5"/>
        <v>31</v>
      </c>
      <c r="T17" s="16">
        <f t="shared" si="6"/>
        <v>86</v>
      </c>
      <c r="U17" s="17">
        <f>IF(SUM(U15:U16)=$C$6,0,IF(T17&gt;$C$6,$C$6-T16,S17))</f>
        <v>31</v>
      </c>
      <c r="V17" s="17">
        <f>IF(($C$9-SUM($V$15:V16))&gt;U17,U17,($C$9-SUM($V$15:V16)))</f>
        <v>31</v>
      </c>
      <c r="W17" s="18">
        <f t="shared" si="7"/>
        <v>0</v>
      </c>
    </row>
    <row r="18" spans="1:23" ht="13.5" customHeight="1">
      <c r="A18" s="3"/>
      <c r="B18" s="130"/>
      <c r="C18" s="34" t="s">
        <v>144</v>
      </c>
      <c r="D18" s="591">
        <v>1000</v>
      </c>
      <c r="H18" s="3"/>
      <c r="I18" s="3"/>
      <c r="J18" s="3"/>
      <c r="K18" s="9" t="s">
        <v>15</v>
      </c>
      <c r="L18" s="10">
        <f t="shared" si="8"/>
        <v>2025</v>
      </c>
      <c r="M18" s="11">
        <f t="shared" si="9"/>
        <v>8</v>
      </c>
      <c r="N18" s="12" t="str">
        <f t="shared" si="0"/>
        <v>2025/8</v>
      </c>
      <c r="O18" s="11">
        <f t="shared" si="1"/>
        <v>31</v>
      </c>
      <c r="P18" s="8">
        <f t="shared" si="2"/>
        <v>45900</v>
      </c>
      <c r="Q18" s="13" t="str">
        <f t="shared" si="3"/>
        <v>×</v>
      </c>
      <c r="R18" s="14">
        <f t="shared" si="4"/>
        <v>45900</v>
      </c>
      <c r="S18" s="15">
        <f t="shared" si="5"/>
        <v>31</v>
      </c>
      <c r="T18" s="16">
        <f t="shared" si="6"/>
        <v>117</v>
      </c>
      <c r="U18" s="17">
        <f>IF(SUM(U15:U17)=$C$6,0,IF(T18&gt;$C$6,$C$6-T17,S18))</f>
        <v>31</v>
      </c>
      <c r="V18" s="17">
        <f>IF(($C$9-SUM($V$15:V17))&gt;U18,U18,($C$9-SUM($V$15:V17)))</f>
        <v>6</v>
      </c>
      <c r="W18" s="18">
        <f t="shared" si="7"/>
        <v>25</v>
      </c>
    </row>
    <row r="19" spans="1:23" ht="13.5" customHeight="1">
      <c r="A19" s="3"/>
      <c r="B19" s="130"/>
      <c r="C19" s="126" t="s">
        <v>145</v>
      </c>
      <c r="D19" s="592">
        <v>1300</v>
      </c>
      <c r="H19" s="3"/>
      <c r="I19" s="3"/>
      <c r="J19" s="3"/>
      <c r="K19" s="9" t="s">
        <v>16</v>
      </c>
      <c r="L19" s="10">
        <f t="shared" si="8"/>
        <v>2025</v>
      </c>
      <c r="M19" s="11">
        <f t="shared" si="9"/>
        <v>9</v>
      </c>
      <c r="N19" s="12" t="str">
        <f t="shared" si="0"/>
        <v>2025/9</v>
      </c>
      <c r="O19" s="11">
        <f t="shared" si="1"/>
        <v>30</v>
      </c>
      <c r="P19" s="8">
        <f t="shared" si="2"/>
        <v>45930</v>
      </c>
      <c r="Q19" s="13" t="str">
        <f t="shared" si="3"/>
        <v>×</v>
      </c>
      <c r="R19" s="14">
        <f t="shared" si="4"/>
        <v>45930</v>
      </c>
      <c r="S19" s="15">
        <f t="shared" si="5"/>
        <v>30</v>
      </c>
      <c r="T19" s="16">
        <f t="shared" si="6"/>
        <v>147</v>
      </c>
      <c r="U19" s="17">
        <f>IF(SUM(U15:U18)=$C$6,0,IF(T19&gt;$C$6,$C$6-T18,S19))</f>
        <v>30</v>
      </c>
      <c r="V19" s="17">
        <f>IF(($C$9-SUM($V$15:V18))&gt;U19,U19,($C$9-SUM($V$15:V18)))</f>
        <v>0</v>
      </c>
      <c r="W19" s="18">
        <f t="shared" si="7"/>
        <v>30</v>
      </c>
    </row>
    <row r="20" spans="1:23" ht="13.5" customHeight="1" thickBot="1">
      <c r="A20" s="3"/>
      <c r="B20" s="579" t="s">
        <v>2</v>
      </c>
      <c r="C20" s="73" t="s">
        <v>2</v>
      </c>
      <c r="D20" s="630">
        <v>1000</v>
      </c>
      <c r="H20" s="3"/>
      <c r="I20" s="3"/>
      <c r="J20" s="3"/>
      <c r="K20" s="9" t="s">
        <v>17</v>
      </c>
      <c r="L20" s="10">
        <f t="shared" si="8"/>
        <v>2025</v>
      </c>
      <c r="M20" s="11">
        <f t="shared" si="9"/>
        <v>10</v>
      </c>
      <c r="N20" s="12" t="str">
        <f t="shared" si="0"/>
        <v>2025/10</v>
      </c>
      <c r="O20" s="11">
        <f t="shared" si="1"/>
        <v>31</v>
      </c>
      <c r="P20" s="8">
        <f t="shared" si="2"/>
        <v>45961</v>
      </c>
      <c r="Q20" s="13" t="str">
        <f t="shared" si="3"/>
        <v>×</v>
      </c>
      <c r="R20" s="14">
        <f t="shared" si="4"/>
        <v>45961</v>
      </c>
      <c r="S20" s="15">
        <f t="shared" si="5"/>
        <v>31</v>
      </c>
      <c r="T20" s="16">
        <f t="shared" si="6"/>
        <v>178</v>
      </c>
      <c r="U20" s="17">
        <f>IF(SUM(U15:U19)=$C$6,0,IF(T20&gt;$C$6,$C$6-T19,S20))</f>
        <v>31</v>
      </c>
      <c r="V20" s="17">
        <f>IF(($C$9-SUM($V$15:V19))&gt;U20,U20,($C$9-SUM($V$15:V19)))</f>
        <v>0</v>
      </c>
      <c r="W20" s="18">
        <f t="shared" si="7"/>
        <v>31</v>
      </c>
    </row>
    <row r="21" spans="1:23" ht="13.5" customHeight="1">
      <c r="A21" s="3"/>
      <c r="H21" s="3"/>
      <c r="I21" s="3"/>
      <c r="J21" s="3"/>
      <c r="K21" s="9" t="s">
        <v>18</v>
      </c>
      <c r="L21" s="10">
        <f t="shared" si="8"/>
        <v>2025</v>
      </c>
      <c r="M21" s="11">
        <f t="shared" si="9"/>
        <v>11</v>
      </c>
      <c r="N21" s="12" t="str">
        <f t="shared" si="0"/>
        <v>2025/11</v>
      </c>
      <c r="O21" s="11">
        <f t="shared" si="1"/>
        <v>30</v>
      </c>
      <c r="P21" s="8">
        <f t="shared" si="2"/>
        <v>45991</v>
      </c>
      <c r="Q21" s="13" t="str">
        <f t="shared" si="3"/>
        <v>×</v>
      </c>
      <c r="R21" s="14">
        <f t="shared" si="4"/>
        <v>45991</v>
      </c>
      <c r="S21" s="15">
        <f t="shared" si="5"/>
        <v>30</v>
      </c>
      <c r="T21" s="16">
        <f t="shared" si="6"/>
        <v>208</v>
      </c>
      <c r="U21" s="17">
        <f>IF(SUM(U15:U20)=$C$6,0,IF(T21&gt;$C$6,$C$6-T20,S21))</f>
        <v>6</v>
      </c>
      <c r="V21" s="17">
        <f>IF(($C$9-SUM($V$15:V20))&gt;U21,U21,($C$9-SUM($V$15:V20)))</f>
        <v>0</v>
      </c>
      <c r="W21" s="18">
        <f t="shared" si="7"/>
        <v>6</v>
      </c>
    </row>
    <row r="22" spans="1:23" ht="13.5" customHeight="1">
      <c r="A22" s="3"/>
      <c r="E22" s="3"/>
      <c r="H22" s="3"/>
      <c r="I22" s="3"/>
      <c r="J22" s="3"/>
      <c r="K22" s="9" t="s">
        <v>19</v>
      </c>
      <c r="L22" s="10">
        <f t="shared" si="8"/>
        <v>2025</v>
      </c>
      <c r="M22" s="11">
        <f t="shared" si="9"/>
        <v>12</v>
      </c>
      <c r="N22" s="12" t="str">
        <f t="shared" si="0"/>
        <v>2025/12</v>
      </c>
      <c r="O22" s="11">
        <f t="shared" si="1"/>
        <v>31</v>
      </c>
      <c r="P22" s="8">
        <f t="shared" si="2"/>
        <v>46022</v>
      </c>
      <c r="Q22" s="13" t="str">
        <f t="shared" si="3"/>
        <v>×</v>
      </c>
      <c r="R22" s="14">
        <f t="shared" si="4"/>
        <v>46022</v>
      </c>
      <c r="S22" s="15">
        <f t="shared" si="5"/>
        <v>31</v>
      </c>
      <c r="T22" s="16">
        <f t="shared" si="6"/>
        <v>239</v>
      </c>
      <c r="U22" s="17">
        <f>IF(SUM(U15:U21)=$C$6,0,IF(T22&gt;$C$6,$C$6-T21,S22))</f>
        <v>0</v>
      </c>
      <c r="V22" s="17">
        <f>IF(($C$9-SUM($V$15:V21))&gt;U22,U22,($C$9-SUM($V$15:V21)))</f>
        <v>0</v>
      </c>
      <c r="W22" s="18">
        <f t="shared" si="7"/>
        <v>0</v>
      </c>
    </row>
    <row r="23" spans="1:23" ht="13.5" customHeight="1">
      <c r="A23" s="3"/>
      <c r="B23" s="1" t="s">
        <v>133</v>
      </c>
      <c r="C23" s="3"/>
      <c r="D23" s="3"/>
      <c r="E23" s="3"/>
      <c r="F23" s="3"/>
      <c r="G23" s="3"/>
      <c r="H23" s="3"/>
      <c r="I23" s="3"/>
      <c r="J23" s="3"/>
      <c r="K23" s="9" t="s">
        <v>20</v>
      </c>
      <c r="L23" s="10">
        <f t="shared" si="8"/>
        <v>2026</v>
      </c>
      <c r="M23" s="11">
        <f t="shared" si="9"/>
        <v>1</v>
      </c>
      <c r="N23" s="12" t="str">
        <f t="shared" si="0"/>
        <v>2026/1</v>
      </c>
      <c r="O23" s="11">
        <f t="shared" si="1"/>
        <v>31</v>
      </c>
      <c r="P23" s="8">
        <f t="shared" si="2"/>
        <v>46053</v>
      </c>
      <c r="Q23" s="13" t="str">
        <f t="shared" si="3"/>
        <v>×</v>
      </c>
      <c r="R23" s="14">
        <f t="shared" si="4"/>
        <v>46053</v>
      </c>
      <c r="S23" s="15">
        <f t="shared" si="5"/>
        <v>31</v>
      </c>
      <c r="T23" s="16">
        <f t="shared" si="6"/>
        <v>270</v>
      </c>
      <c r="U23" s="17">
        <f>IF(SUM(U15:U22)=$C$6,0,IF(T23&gt;$C$6,$C$6-T22,S23))</f>
        <v>0</v>
      </c>
      <c r="V23" s="17">
        <f>IF(($C$9-SUM($V$15:V22))&gt;U23,U23,($C$9-SUM($V$15:V22)))</f>
        <v>0</v>
      </c>
      <c r="W23" s="18">
        <f t="shared" si="7"/>
        <v>0</v>
      </c>
    </row>
    <row r="24" spans="1:23" ht="13.5" customHeight="1" thickBot="1">
      <c r="A24" s="3"/>
      <c r="B24" s="43">
        <v>2</v>
      </c>
      <c r="H24" s="3"/>
      <c r="I24" s="3"/>
      <c r="J24" s="3"/>
      <c r="K24" s="9" t="s">
        <v>21</v>
      </c>
      <c r="L24" s="10">
        <f t="shared" si="8"/>
        <v>2026</v>
      </c>
      <c r="M24" s="11">
        <f t="shared" si="9"/>
        <v>2</v>
      </c>
      <c r="N24" s="12" t="str">
        <f t="shared" si="0"/>
        <v>2026/2</v>
      </c>
      <c r="O24" s="11">
        <f t="shared" si="1"/>
        <v>28</v>
      </c>
      <c r="P24" s="8">
        <f t="shared" si="2"/>
        <v>46081</v>
      </c>
      <c r="Q24" s="13" t="str">
        <f t="shared" si="3"/>
        <v>×</v>
      </c>
      <c r="R24" s="14">
        <f t="shared" si="4"/>
        <v>46081</v>
      </c>
      <c r="S24" s="15">
        <f t="shared" si="5"/>
        <v>28</v>
      </c>
      <c r="T24" s="16">
        <f t="shared" si="6"/>
        <v>298</v>
      </c>
      <c r="U24" s="17">
        <f>IF(SUM(U15:U23)=$C$6,0,IF(T24&gt;$C$6,$C$6-T23,S24))</f>
        <v>0</v>
      </c>
      <c r="V24" s="17">
        <f>IF(($C$9-SUM($V$15:V23))&gt;U24,U24,($C$9-SUM($V$15:V23)))</f>
        <v>0</v>
      </c>
      <c r="W24" s="18">
        <f t="shared" si="7"/>
        <v>0</v>
      </c>
    </row>
    <row r="25" spans="1:23" ht="13.5" customHeight="1" thickBot="1">
      <c r="A25" s="3"/>
      <c r="B25" s="131" t="s">
        <v>55</v>
      </c>
      <c r="C25" s="127" t="s">
        <v>68</v>
      </c>
      <c r="D25" s="150" t="s">
        <v>147</v>
      </c>
      <c r="H25" s="3"/>
      <c r="I25" s="3"/>
      <c r="J25" s="3"/>
      <c r="K25" s="9" t="s">
        <v>22</v>
      </c>
      <c r="L25" s="10">
        <f t="shared" si="8"/>
        <v>2026</v>
      </c>
      <c r="M25" s="11">
        <f t="shared" si="9"/>
        <v>3</v>
      </c>
      <c r="N25" s="12" t="str">
        <f t="shared" si="0"/>
        <v>2026/3</v>
      </c>
      <c r="O25" s="11">
        <f t="shared" si="1"/>
        <v>31</v>
      </c>
      <c r="P25" s="8">
        <f t="shared" si="2"/>
        <v>46112</v>
      </c>
      <c r="Q25" s="13" t="str">
        <f t="shared" si="3"/>
        <v>×</v>
      </c>
      <c r="R25" s="14">
        <f t="shared" si="4"/>
        <v>46112</v>
      </c>
      <c r="S25" s="15">
        <f t="shared" si="5"/>
        <v>31</v>
      </c>
      <c r="T25" s="16">
        <f t="shared" si="6"/>
        <v>329</v>
      </c>
      <c r="U25" s="17">
        <f>IF(SUM(U15:U24)=$C$6,0,IF(T25&gt;$C$6,$C$6-T24,S25))</f>
        <v>0</v>
      </c>
      <c r="V25" s="17">
        <f>IF(($C$9-SUM($V$15:V24))&gt;U25,U25,($C$9-SUM($V$15:V24)))</f>
        <v>0</v>
      </c>
      <c r="W25" s="18">
        <f t="shared" si="7"/>
        <v>0</v>
      </c>
    </row>
    <row r="26" spans="1:23" ht="13.5" customHeight="1" thickTop="1">
      <c r="A26" s="3"/>
      <c r="B26" s="123">
        <v>1</v>
      </c>
      <c r="C26" s="34" t="s">
        <v>116</v>
      </c>
      <c r="D26" s="593">
        <v>8500</v>
      </c>
      <c r="H26" s="3"/>
      <c r="I26" s="3"/>
      <c r="J26" s="3"/>
      <c r="K26" s="9" t="s">
        <v>23</v>
      </c>
      <c r="L26" s="10">
        <f t="shared" si="8"/>
        <v>2026</v>
      </c>
      <c r="M26" s="11">
        <f t="shared" si="9"/>
        <v>4</v>
      </c>
      <c r="N26" s="12" t="str">
        <f t="shared" si="0"/>
        <v>2026/4</v>
      </c>
      <c r="O26" s="11">
        <f t="shared" si="1"/>
        <v>30</v>
      </c>
      <c r="P26" s="8">
        <f t="shared" si="2"/>
        <v>46142</v>
      </c>
      <c r="Q26" s="13" t="str">
        <f t="shared" si="3"/>
        <v>×</v>
      </c>
      <c r="R26" s="14">
        <f t="shared" si="4"/>
        <v>46142</v>
      </c>
      <c r="S26" s="15">
        <f t="shared" si="5"/>
        <v>30</v>
      </c>
      <c r="T26" s="16">
        <f t="shared" si="6"/>
        <v>359</v>
      </c>
      <c r="U26" s="17">
        <f>IF(SUM(U15:U25)=$C$6,0,IF(T26&gt;=$C$6,$C$6-T25,S26))</f>
        <v>0</v>
      </c>
      <c r="V26" s="17">
        <f>IF(($C$9-SUM($V$15:V25))&gt;U26,U26,($C$9-SUM($V$15:V25)))</f>
        <v>0</v>
      </c>
      <c r="W26" s="18">
        <f t="shared" si="7"/>
        <v>0</v>
      </c>
    </row>
    <row r="27" spans="1:23" ht="13.5" customHeight="1" thickBot="1">
      <c r="A27" s="3"/>
      <c r="B27" s="123">
        <v>2</v>
      </c>
      <c r="C27" s="34" t="s">
        <v>46</v>
      </c>
      <c r="D27" s="517">
        <v>1570</v>
      </c>
      <c r="H27" s="3"/>
      <c r="I27" s="3"/>
      <c r="J27" s="3"/>
      <c r="K27" s="104" t="s">
        <v>24</v>
      </c>
      <c r="L27" s="105">
        <f t="shared" si="8"/>
        <v>2026</v>
      </c>
      <c r="M27" s="106">
        <f t="shared" si="9"/>
        <v>5</v>
      </c>
      <c r="N27" s="107" t="str">
        <f t="shared" si="0"/>
        <v>2026/5</v>
      </c>
      <c r="O27" s="106">
        <f t="shared" si="1"/>
        <v>31</v>
      </c>
      <c r="P27" s="74">
        <f t="shared" si="2"/>
        <v>46173</v>
      </c>
      <c r="Q27" s="108" t="str">
        <f t="shared" si="3"/>
        <v>×</v>
      </c>
      <c r="R27" s="109">
        <f t="shared" si="4"/>
        <v>46173</v>
      </c>
      <c r="S27" s="110">
        <f t="shared" si="5"/>
        <v>31</v>
      </c>
      <c r="T27" s="111">
        <f t="shared" si="6"/>
        <v>390</v>
      </c>
      <c r="U27" s="112">
        <f>IF(SUM(U15:U26)=$C$6,0,IF(T27&gt;$C$6,$C$6-T26,S27))</f>
        <v>0</v>
      </c>
      <c r="V27" s="112">
        <f>IF(($C$9-SUM($V$15:V26))&gt;U27,U27,($C$9-SUM($V$15:V26)))</f>
        <v>0</v>
      </c>
      <c r="W27" s="113">
        <f t="shared" si="7"/>
        <v>0</v>
      </c>
    </row>
    <row r="28" spans="1:23" ht="13.5" customHeight="1" thickBot="1">
      <c r="A28" s="3"/>
      <c r="B28" s="124">
        <v>3</v>
      </c>
      <c r="C28" s="126" t="s">
        <v>47</v>
      </c>
      <c r="D28" s="592">
        <v>8500</v>
      </c>
      <c r="H28" s="3"/>
      <c r="I28" s="3"/>
      <c r="J28" s="3"/>
      <c r="T28" s="19" t="s">
        <v>4</v>
      </c>
      <c r="U28" s="136">
        <f>SUM(U15:U27)</f>
        <v>184</v>
      </c>
      <c r="V28" s="136">
        <f>SUM(V15:V27)</f>
        <v>92</v>
      </c>
      <c r="W28" s="137">
        <f>SUM(W15:W27)</f>
        <v>92</v>
      </c>
    </row>
    <row r="29" spans="1:23" ht="13.5" customHeight="1" thickBot="1">
      <c r="A29" s="3"/>
      <c r="B29" s="125"/>
      <c r="C29" s="73" t="s">
        <v>150</v>
      </c>
      <c r="D29" s="630">
        <v>14500</v>
      </c>
      <c r="H29" s="3"/>
      <c r="I29" s="3"/>
      <c r="J29" s="3"/>
    </row>
    <row r="30" spans="1:23" ht="13.5" customHeight="1" thickBot="1">
      <c r="A30" s="3"/>
      <c r="H30" s="3"/>
      <c r="I30" s="3"/>
      <c r="J30" s="3"/>
      <c r="K30" s="1" t="s">
        <v>99</v>
      </c>
      <c r="O30" s="1" t="s">
        <v>205</v>
      </c>
      <c r="S30" s="346" t="s">
        <v>242</v>
      </c>
    </row>
    <row r="31" spans="1:23" ht="13.5" customHeight="1" thickBot="1">
      <c r="A31" s="3"/>
      <c r="H31" s="3"/>
      <c r="I31" s="3"/>
      <c r="J31" s="3"/>
      <c r="K31" s="127" t="s">
        <v>55</v>
      </c>
      <c r="L31" s="128" t="s">
        <v>93</v>
      </c>
      <c r="M31" s="134" t="s">
        <v>98</v>
      </c>
      <c r="O31" s="139" t="s">
        <v>206</v>
      </c>
      <c r="P31" s="140" t="s">
        <v>206</v>
      </c>
      <c r="Q31" s="141" t="s">
        <v>110</v>
      </c>
      <c r="T31" s="33" t="s">
        <v>243</v>
      </c>
      <c r="U31" s="33" t="s">
        <v>244</v>
      </c>
    </row>
    <row r="32" spans="1:23" ht="13.5" customHeight="1" thickTop="1" thickBot="1">
      <c r="A32" s="3"/>
      <c r="B32" s="1" t="s">
        <v>148</v>
      </c>
      <c r="H32" s="3"/>
      <c r="I32" s="3"/>
      <c r="J32" s="3"/>
      <c r="K32" s="81">
        <v>1</v>
      </c>
      <c r="L32" s="115" t="s">
        <v>81</v>
      </c>
      <c r="M32" s="116">
        <v>31</v>
      </c>
      <c r="O32" s="94">
        <f>IF(C11="","",MONTH($C$11))</f>
        <v>7</v>
      </c>
      <c r="P32" s="142" t="str">
        <f>IF(O32="","",MATCH(O32,$M$15:$M$27,0)&amp;"ヶ月目")</f>
        <v>3ヶ月目</v>
      </c>
      <c r="Q32" s="116">
        <f>IF(O32="","",IF(O33="",2,1))</f>
        <v>2</v>
      </c>
      <c r="S32" s="346" t="s">
        <v>245</v>
      </c>
      <c r="T32" s="33">
        <f>DATEDIF($C$5-1,$C$14,"M")</f>
        <v>6</v>
      </c>
      <c r="U32" s="33">
        <f>DATEDIF($C$5-1,$C$14,"MD")</f>
        <v>0</v>
      </c>
    </row>
    <row r="33" spans="1:21" ht="13.5" customHeight="1" thickBot="1">
      <c r="A33" s="3"/>
      <c r="B33" s="4">
        <v>2</v>
      </c>
      <c r="C33" s="3"/>
      <c r="D33" s="3"/>
      <c r="E33" s="3"/>
      <c r="F33" s="3"/>
      <c r="G33" s="3"/>
      <c r="H33" s="3"/>
      <c r="I33" s="3"/>
      <c r="J33" s="3"/>
      <c r="K33" s="34">
        <v>2</v>
      </c>
      <c r="L33" s="117" t="s">
        <v>82</v>
      </c>
      <c r="M33" s="118">
        <v>28</v>
      </c>
      <c r="O33" s="104" t="str">
        <f>IF(O32="","",IF(MONTH($C$11)=MONTH($D$11),"",MONTH($D$11)))</f>
        <v/>
      </c>
      <c r="P33" s="143" t="str">
        <f>IF(O33="","",MATCH(O33,$M$15:$M$27,0)&amp;"ヶ月目")</f>
        <v/>
      </c>
      <c r="Q33" s="120" t="str">
        <f>IF(O33="","",1)</f>
        <v/>
      </c>
      <c r="S33" s="546" t="s">
        <v>246</v>
      </c>
      <c r="T33" s="547" t="s">
        <v>247</v>
      </c>
      <c r="U33" s="548" t="s">
        <v>248</v>
      </c>
    </row>
    <row r="34" spans="1:21" ht="13.5" customHeight="1">
      <c r="A34" s="3"/>
      <c r="B34" s="780" t="s">
        <v>55</v>
      </c>
      <c r="C34" s="780" t="s">
        <v>149</v>
      </c>
      <c r="D34" s="794" t="s">
        <v>124</v>
      </c>
      <c r="E34" s="796" t="s">
        <v>125</v>
      </c>
      <c r="F34" s="780" t="s">
        <v>3</v>
      </c>
      <c r="G34" s="574" t="s">
        <v>274</v>
      </c>
      <c r="H34" s="574" t="s">
        <v>275</v>
      </c>
      <c r="I34" s="780" t="s">
        <v>292</v>
      </c>
      <c r="J34" s="3"/>
      <c r="K34" s="34">
        <v>3</v>
      </c>
      <c r="L34" s="117" t="s">
        <v>83</v>
      </c>
      <c r="M34" s="118">
        <v>31</v>
      </c>
      <c r="S34" s="549" t="str">
        <f>IF($C$6=T34,"該当","")</f>
        <v/>
      </c>
      <c r="T34" s="550">
        <v>1</v>
      </c>
      <c r="U34" s="118">
        <v>590</v>
      </c>
    </row>
    <row r="35" spans="1:21" ht="13.5" customHeight="1" thickBot="1">
      <c r="A35" s="3"/>
      <c r="B35" s="781"/>
      <c r="C35" s="781"/>
      <c r="D35" s="795"/>
      <c r="E35" s="797"/>
      <c r="F35" s="781"/>
      <c r="G35" s="575" t="s">
        <v>276</v>
      </c>
      <c r="H35" s="575" t="s">
        <v>277</v>
      </c>
      <c r="I35" s="781"/>
      <c r="J35" s="3"/>
      <c r="K35" s="34">
        <v>4</v>
      </c>
      <c r="L35" s="117" t="s">
        <v>84</v>
      </c>
      <c r="M35" s="118">
        <v>30</v>
      </c>
      <c r="S35" s="549" t="str">
        <f>IF(AND($C$6&gt;T34,$C$6&lt;=T35),"該当","")</f>
        <v/>
      </c>
      <c r="T35" s="550">
        <v>2</v>
      </c>
      <c r="U35" s="118">
        <v>660</v>
      </c>
    </row>
    <row r="36" spans="1:21" ht="36.75" customHeight="1" thickTop="1">
      <c r="A36" s="3"/>
      <c r="B36" s="5">
        <v>1</v>
      </c>
      <c r="C36" s="596" t="s">
        <v>283</v>
      </c>
      <c r="D36" s="604">
        <v>0.5</v>
      </c>
      <c r="E36" s="114">
        <v>0.5</v>
      </c>
      <c r="F36" s="611">
        <v>3360</v>
      </c>
      <c r="G36" s="612">
        <v>731000</v>
      </c>
      <c r="H36" s="613">
        <f>G36*2</f>
        <v>1462000</v>
      </c>
      <c r="I36" s="608" t="s">
        <v>293</v>
      </c>
      <c r="J36" s="624"/>
      <c r="K36" s="34">
        <v>5</v>
      </c>
      <c r="L36" s="117" t="s">
        <v>85</v>
      </c>
      <c r="M36" s="118">
        <v>31</v>
      </c>
      <c r="S36" s="549" t="str">
        <f t="shared" ref="S36:S60" si="10">IF(AND($C$6&gt;T35,$C$6&lt;=T36),"該当","")</f>
        <v/>
      </c>
      <c r="T36" s="550">
        <v>3</v>
      </c>
      <c r="U36" s="118">
        <v>810</v>
      </c>
    </row>
    <row r="37" spans="1:21" ht="36.75" customHeight="1">
      <c r="A37" s="3"/>
      <c r="B37" s="34">
        <v>2</v>
      </c>
      <c r="C37" s="597" t="s">
        <v>284</v>
      </c>
      <c r="D37" s="605">
        <v>0.33333333333333331</v>
      </c>
      <c r="E37" s="121">
        <v>0.66666666666666674</v>
      </c>
      <c r="F37" s="614">
        <v>3360</v>
      </c>
      <c r="G37" s="615">
        <v>798000</v>
      </c>
      <c r="H37" s="616">
        <f>G37*3/2</f>
        <v>1197000</v>
      </c>
      <c r="I37" s="609" t="s">
        <v>293</v>
      </c>
      <c r="J37" s="3"/>
      <c r="K37" s="34">
        <v>6</v>
      </c>
      <c r="L37" s="117" t="s">
        <v>86</v>
      </c>
      <c r="M37" s="118">
        <v>30</v>
      </c>
      <c r="S37" s="549" t="str">
        <f t="shared" si="10"/>
        <v/>
      </c>
      <c r="T37" s="550">
        <v>4</v>
      </c>
      <c r="U37" s="118">
        <v>940</v>
      </c>
    </row>
    <row r="38" spans="1:21" ht="36.75" customHeight="1">
      <c r="A38" s="3"/>
      <c r="B38" s="34">
        <v>3</v>
      </c>
      <c r="C38" s="598" t="s">
        <v>285</v>
      </c>
      <c r="D38" s="605">
        <v>0.66666666666666663</v>
      </c>
      <c r="E38" s="121">
        <v>0.33333333333333337</v>
      </c>
      <c r="F38" s="614">
        <v>5190</v>
      </c>
      <c r="G38" s="615">
        <v>617000</v>
      </c>
      <c r="H38" s="616">
        <f>G38*3</f>
        <v>1851000</v>
      </c>
      <c r="I38" s="609" t="s">
        <v>293</v>
      </c>
      <c r="J38" s="3"/>
      <c r="K38" s="34">
        <v>7</v>
      </c>
      <c r="L38" s="117" t="s">
        <v>87</v>
      </c>
      <c r="M38" s="118">
        <v>31</v>
      </c>
      <c r="S38" s="549" t="str">
        <f t="shared" si="10"/>
        <v/>
      </c>
      <c r="T38" s="550">
        <v>5</v>
      </c>
      <c r="U38" s="118">
        <v>960</v>
      </c>
    </row>
    <row r="39" spans="1:21" ht="36.75" customHeight="1">
      <c r="A39" s="3"/>
      <c r="B39" s="34">
        <v>4</v>
      </c>
      <c r="C39" s="597" t="s">
        <v>286</v>
      </c>
      <c r="D39" s="605">
        <v>0.66666666666666663</v>
      </c>
      <c r="E39" s="121">
        <v>0.33333333333333337</v>
      </c>
      <c r="F39" s="614">
        <v>3360</v>
      </c>
      <c r="G39" s="615">
        <v>617000</v>
      </c>
      <c r="H39" s="616">
        <f>G39*3</f>
        <v>1851000</v>
      </c>
      <c r="I39" s="609" t="s">
        <v>294</v>
      </c>
      <c r="J39" s="3"/>
      <c r="K39" s="34">
        <v>8</v>
      </c>
      <c r="L39" s="117" t="s">
        <v>88</v>
      </c>
      <c r="M39" s="118">
        <v>31</v>
      </c>
      <c r="S39" s="549" t="str">
        <f t="shared" si="10"/>
        <v/>
      </c>
      <c r="T39" s="550">
        <v>6</v>
      </c>
      <c r="U39" s="118">
        <v>990</v>
      </c>
    </row>
    <row r="40" spans="1:21" ht="36.75" customHeight="1">
      <c r="A40" s="3"/>
      <c r="B40" s="34">
        <v>5</v>
      </c>
      <c r="C40" s="597" t="s">
        <v>287</v>
      </c>
      <c r="D40" s="604">
        <v>1</v>
      </c>
      <c r="E40" s="583">
        <v>0</v>
      </c>
      <c r="F40" s="617">
        <v>5190</v>
      </c>
      <c r="G40" s="615">
        <v>377000</v>
      </c>
      <c r="H40" s="616">
        <f>G40*0</f>
        <v>0</v>
      </c>
      <c r="I40" s="609" t="s">
        <v>294</v>
      </c>
      <c r="J40" s="3"/>
      <c r="K40" s="34">
        <v>9</v>
      </c>
      <c r="L40" s="117" t="s">
        <v>89</v>
      </c>
      <c r="M40" s="118">
        <v>30</v>
      </c>
      <c r="S40" s="549" t="str">
        <f t="shared" si="10"/>
        <v/>
      </c>
      <c r="T40" s="550">
        <v>7</v>
      </c>
      <c r="U40" s="118">
        <v>1030</v>
      </c>
    </row>
    <row r="41" spans="1:21" ht="36.75" customHeight="1">
      <c r="A41" s="3"/>
      <c r="B41" s="126">
        <v>6</v>
      </c>
      <c r="C41" s="618" t="s">
        <v>288</v>
      </c>
      <c r="D41" s="606">
        <v>0.33333333333333331</v>
      </c>
      <c r="E41" s="589">
        <v>0.66666666666666674</v>
      </c>
      <c r="F41" s="619">
        <v>5190</v>
      </c>
      <c r="G41" s="620">
        <v>798000</v>
      </c>
      <c r="H41" s="628">
        <f>G41*3/2</f>
        <v>1197000</v>
      </c>
      <c r="I41" s="609" t="s">
        <v>294</v>
      </c>
      <c r="J41" s="3"/>
      <c r="K41" s="34">
        <v>10</v>
      </c>
      <c r="L41" s="117" t="s">
        <v>90</v>
      </c>
      <c r="M41" s="118">
        <v>31</v>
      </c>
      <c r="S41" s="549" t="str">
        <f t="shared" si="10"/>
        <v/>
      </c>
      <c r="T41" s="550">
        <v>8</v>
      </c>
      <c r="U41" s="118">
        <v>1060</v>
      </c>
    </row>
    <row r="42" spans="1:21" ht="36.75" customHeight="1">
      <c r="A42" s="3"/>
      <c r="B42" s="34">
        <v>7</v>
      </c>
      <c r="C42" s="599" t="s">
        <v>289</v>
      </c>
      <c r="D42" s="605">
        <v>0.5</v>
      </c>
      <c r="E42" s="594">
        <v>0.5</v>
      </c>
      <c r="F42" s="621">
        <v>5190</v>
      </c>
      <c r="G42" s="622">
        <v>731000</v>
      </c>
      <c r="H42" s="616">
        <f>G42*2</f>
        <v>1462000</v>
      </c>
      <c r="I42" s="609" t="s">
        <v>294</v>
      </c>
      <c r="J42" s="3"/>
      <c r="K42" s="34">
        <v>11</v>
      </c>
      <c r="L42" s="117" t="s">
        <v>91</v>
      </c>
      <c r="M42" s="118">
        <v>30</v>
      </c>
      <c r="S42" s="549" t="str">
        <f t="shared" si="10"/>
        <v/>
      </c>
      <c r="T42" s="550">
        <v>9</v>
      </c>
      <c r="U42" s="118">
        <v>1140</v>
      </c>
    </row>
    <row r="43" spans="1:21" ht="36.75" customHeight="1" thickBot="1">
      <c r="A43" s="3"/>
      <c r="B43" s="483">
        <v>8</v>
      </c>
      <c r="C43" s="625" t="s">
        <v>290</v>
      </c>
      <c r="D43" s="607">
        <v>0.75</v>
      </c>
      <c r="E43" s="595">
        <f>1/4</f>
        <v>0.25</v>
      </c>
      <c r="F43" s="623">
        <v>5190</v>
      </c>
      <c r="G43" s="626">
        <v>595000</v>
      </c>
      <c r="H43" s="629">
        <f>G43*4</f>
        <v>2380000</v>
      </c>
      <c r="I43" s="610" t="s">
        <v>294</v>
      </c>
      <c r="J43" s="3"/>
      <c r="K43" s="73">
        <v>12</v>
      </c>
      <c r="L43" s="119" t="s">
        <v>92</v>
      </c>
      <c r="M43" s="120">
        <v>31</v>
      </c>
      <c r="S43" s="549" t="str">
        <f t="shared" si="10"/>
        <v/>
      </c>
      <c r="T43" s="550">
        <v>10</v>
      </c>
      <c r="U43" s="118">
        <v>1230</v>
      </c>
    </row>
    <row r="44" spans="1:21" ht="13.5" customHeight="1">
      <c r="A44" s="3"/>
      <c r="I44" s="3"/>
      <c r="J44" s="3"/>
      <c r="S44" s="549" t="str">
        <f t="shared" si="10"/>
        <v/>
      </c>
      <c r="T44" s="550">
        <v>11</v>
      </c>
      <c r="U44" s="118">
        <v>1340</v>
      </c>
    </row>
    <row r="45" spans="1:21" ht="13.5" customHeight="1">
      <c r="A45" s="3"/>
      <c r="B45" s="1" t="s">
        <v>66</v>
      </c>
      <c r="E45" s="3"/>
      <c r="F45" s="3"/>
      <c r="G45" s="3"/>
      <c r="H45" s="3"/>
      <c r="I45" s="3"/>
      <c r="J45" s="3"/>
      <c r="S45" s="549" t="str">
        <f t="shared" si="10"/>
        <v/>
      </c>
      <c r="T45" s="550">
        <v>12</v>
      </c>
      <c r="U45" s="118">
        <v>1490</v>
      </c>
    </row>
    <row r="46" spans="1:21" ht="13.5" customHeight="1" thickBot="1">
      <c r="A46" s="3"/>
      <c r="B46" s="43">
        <v>1</v>
      </c>
      <c r="H46" s="3"/>
      <c r="I46" s="580"/>
      <c r="J46" s="581"/>
      <c r="S46" s="549" t="str">
        <f t="shared" si="10"/>
        <v/>
      </c>
      <c r="T46" s="550">
        <v>13</v>
      </c>
      <c r="U46" s="118">
        <v>1590</v>
      </c>
    </row>
    <row r="47" spans="1:21" ht="13.5" customHeight="1">
      <c r="A47" s="3"/>
      <c r="B47" s="780" t="s">
        <v>55</v>
      </c>
      <c r="C47" s="790" t="s">
        <v>60</v>
      </c>
      <c r="D47" s="792" t="s">
        <v>56</v>
      </c>
      <c r="E47" s="792" t="s">
        <v>57</v>
      </c>
      <c r="F47" s="792" t="s">
        <v>58</v>
      </c>
      <c r="G47" s="788" t="s">
        <v>75</v>
      </c>
      <c r="H47" s="788" t="s">
        <v>217</v>
      </c>
      <c r="I47" s="580"/>
      <c r="J47" s="581"/>
      <c r="S47" s="549" t="str">
        <f t="shared" si="10"/>
        <v/>
      </c>
      <c r="T47" s="550">
        <v>14</v>
      </c>
      <c r="U47" s="118">
        <v>1670</v>
      </c>
    </row>
    <row r="48" spans="1:21" ht="13.5" customHeight="1" thickBot="1">
      <c r="A48" s="3"/>
      <c r="B48" s="781"/>
      <c r="C48" s="791"/>
      <c r="D48" s="793"/>
      <c r="E48" s="793"/>
      <c r="F48" s="793"/>
      <c r="G48" s="789"/>
      <c r="H48" s="789"/>
      <c r="I48" s="580"/>
      <c r="J48" s="582"/>
      <c r="S48" s="549" t="str">
        <f t="shared" si="10"/>
        <v/>
      </c>
      <c r="T48" s="550">
        <v>15</v>
      </c>
      <c r="U48" s="118">
        <v>1710</v>
      </c>
    </row>
    <row r="49" spans="1:21" ht="13.5" customHeight="1" thickTop="1">
      <c r="A49" s="3"/>
      <c r="B49" s="45">
        <v>1</v>
      </c>
      <c r="C49" s="602" t="str">
        <f>IF(D49="","",TEXT(D49,"yyyy/mm/dd")&amp;"～"&amp;TEXT(E49,"yyyy/mm/dd")&amp;"("&amp;H49&amp;"日・"&amp;F49&amp;")")</f>
        <v>2025/05/08～2025/08/06(91日・TKC)</v>
      </c>
      <c r="D49" s="46">
        <v>45785</v>
      </c>
      <c r="E49" s="47">
        <v>45875</v>
      </c>
      <c r="F49" s="600" t="s">
        <v>128</v>
      </c>
      <c r="G49" s="48">
        <f t="shared" ref="G49:G55" si="11">IF(D49="","",DATEDIF(D49,E49,"D")+2)</f>
        <v>92</v>
      </c>
      <c r="H49" s="48">
        <f>IF(G49="","",G49-1)</f>
        <v>91</v>
      </c>
      <c r="I49" s="580"/>
      <c r="J49" s="580"/>
      <c r="S49" s="549" t="str">
        <f t="shared" si="10"/>
        <v/>
      </c>
      <c r="T49" s="550">
        <v>17</v>
      </c>
      <c r="U49" s="118">
        <v>1800</v>
      </c>
    </row>
    <row r="50" spans="1:21" ht="13.5" customHeight="1">
      <c r="A50" s="3"/>
      <c r="B50" s="49">
        <v>2</v>
      </c>
      <c r="C50" s="603" t="str">
        <f t="shared" ref="C50:C55" si="12">IF(D50="","",TEXT(D50,"yyyy/mm/dd")&amp;"～"&amp;TEXT(E50,"yyyy/mm/dd")&amp;"("&amp;H50&amp;"日・"&amp;F50&amp;")")</f>
        <v>2025/08/27～2025/11/25(91日・TKC)</v>
      </c>
      <c r="D50" s="51">
        <v>45896</v>
      </c>
      <c r="E50" s="52">
        <v>45986</v>
      </c>
      <c r="F50" s="601" t="s">
        <v>128</v>
      </c>
      <c r="G50" s="54">
        <f t="shared" si="11"/>
        <v>92</v>
      </c>
      <c r="H50" s="54">
        <f t="shared" ref="H50:H55" si="13">IF(G50="","",G50-1)</f>
        <v>91</v>
      </c>
      <c r="I50" s="580"/>
      <c r="J50" s="580"/>
      <c r="S50" s="549" t="str">
        <f t="shared" si="10"/>
        <v/>
      </c>
      <c r="T50" s="550">
        <v>19</v>
      </c>
      <c r="U50" s="118">
        <v>1940</v>
      </c>
    </row>
    <row r="51" spans="1:21" ht="13.5" customHeight="1">
      <c r="A51" s="3"/>
      <c r="B51" s="49">
        <v>3</v>
      </c>
      <c r="C51" s="603" t="str">
        <f t="shared" si="12"/>
        <v>2025/11/26～2026/03/03(98日・KKC)</v>
      </c>
      <c r="D51" s="51">
        <v>45987</v>
      </c>
      <c r="E51" s="52">
        <v>46084</v>
      </c>
      <c r="F51" s="601" t="s">
        <v>123</v>
      </c>
      <c r="G51" s="54">
        <f t="shared" si="11"/>
        <v>99</v>
      </c>
      <c r="H51" s="54">
        <f t="shared" si="13"/>
        <v>98</v>
      </c>
      <c r="I51" s="580"/>
      <c r="J51" s="580"/>
      <c r="S51" s="549" t="str">
        <f t="shared" si="10"/>
        <v/>
      </c>
      <c r="T51" s="550">
        <v>21</v>
      </c>
      <c r="U51" s="118">
        <v>2050</v>
      </c>
    </row>
    <row r="52" spans="1:21" ht="13.5" customHeight="1">
      <c r="A52" s="3"/>
      <c r="B52" s="49">
        <v>4</v>
      </c>
      <c r="C52" s="50" t="str">
        <f t="shared" ref="C52:C53" si="14">IF(D52="","",TEXT(D52,"yyyy/mm/dd")&amp;"～"&amp;TEXT(E52,"yyyy/mm/dd")&amp;"("&amp;H52&amp;"日・"&amp;F52&amp;")")</f>
        <v/>
      </c>
      <c r="D52" s="51"/>
      <c r="E52" s="52"/>
      <c r="F52" s="53"/>
      <c r="G52" s="54" t="str">
        <f t="shared" ref="G52" si="15">IF(D52="","",DATEDIF(D52,E52,"D")+2)</f>
        <v/>
      </c>
      <c r="H52" s="54" t="str">
        <f t="shared" ref="H52" si="16">IF(G52="","",G52-1)</f>
        <v/>
      </c>
      <c r="I52" s="580"/>
      <c r="J52" s="580"/>
      <c r="S52" s="549" t="str">
        <f t="shared" si="10"/>
        <v/>
      </c>
      <c r="T52" s="550">
        <v>23</v>
      </c>
      <c r="U52" s="118">
        <v>2170</v>
      </c>
    </row>
    <row r="53" spans="1:21" ht="13.5" customHeight="1">
      <c r="A53" s="3"/>
      <c r="B53" s="49">
        <v>5</v>
      </c>
      <c r="C53" s="50" t="str">
        <f t="shared" si="14"/>
        <v/>
      </c>
      <c r="D53" s="51"/>
      <c r="E53" s="52"/>
      <c r="F53" s="53"/>
      <c r="G53" s="54" t="str">
        <f t="shared" si="11"/>
        <v/>
      </c>
      <c r="H53" s="54" t="str">
        <f t="shared" si="13"/>
        <v/>
      </c>
      <c r="I53" s="580"/>
      <c r="J53" s="580"/>
      <c r="S53" s="549" t="str">
        <f t="shared" si="10"/>
        <v/>
      </c>
      <c r="T53" s="550">
        <v>25</v>
      </c>
      <c r="U53" s="118">
        <v>2260</v>
      </c>
    </row>
    <row r="54" spans="1:21" ht="13.5" customHeight="1">
      <c r="A54" s="3"/>
      <c r="B54" s="55">
        <v>6</v>
      </c>
      <c r="C54" s="56" t="str">
        <f t="shared" si="12"/>
        <v/>
      </c>
      <c r="D54" s="57"/>
      <c r="E54" s="58"/>
      <c r="F54" s="59"/>
      <c r="G54" s="60" t="str">
        <f t="shared" si="11"/>
        <v/>
      </c>
      <c r="H54" s="60" t="str">
        <f t="shared" si="13"/>
        <v/>
      </c>
      <c r="I54" s="580"/>
      <c r="J54" s="580"/>
      <c r="S54" s="549" t="str">
        <f t="shared" si="10"/>
        <v/>
      </c>
      <c r="T54" s="550">
        <v>27</v>
      </c>
      <c r="U54" s="118">
        <v>2370</v>
      </c>
    </row>
    <row r="55" spans="1:21" ht="13.5" customHeight="1" thickBot="1">
      <c r="A55" s="3"/>
      <c r="B55" s="61">
        <v>7</v>
      </c>
      <c r="C55" s="62" t="str">
        <f t="shared" si="12"/>
        <v/>
      </c>
      <c r="D55" s="63"/>
      <c r="E55" s="64"/>
      <c r="F55" s="65"/>
      <c r="G55" s="66" t="str">
        <f t="shared" si="11"/>
        <v/>
      </c>
      <c r="H55" s="66" t="str">
        <f t="shared" si="13"/>
        <v/>
      </c>
      <c r="I55" s="3"/>
      <c r="J55" s="3"/>
      <c r="K55" s="3"/>
      <c r="L55" s="3"/>
      <c r="S55" s="549" t="str">
        <f t="shared" si="10"/>
        <v/>
      </c>
      <c r="T55" s="550">
        <v>29</v>
      </c>
      <c r="U55" s="118">
        <v>2500</v>
      </c>
    </row>
    <row r="56" spans="1:21" ht="13.5" customHeight="1">
      <c r="A56" s="3"/>
      <c r="H56" s="3"/>
      <c r="I56" s="3"/>
      <c r="J56" s="3"/>
      <c r="K56" s="3"/>
      <c r="L56" s="3"/>
      <c r="S56" s="549" t="str">
        <f t="shared" si="10"/>
        <v/>
      </c>
      <c r="T56" s="550">
        <v>31</v>
      </c>
      <c r="U56" s="118">
        <v>2850</v>
      </c>
    </row>
    <row r="57" spans="1:21" ht="13.5" customHeight="1">
      <c r="A57" s="3"/>
      <c r="S57" s="549" t="str">
        <f t="shared" si="10"/>
        <v/>
      </c>
      <c r="T57" s="550">
        <v>34</v>
      </c>
      <c r="U57" s="118">
        <v>3460</v>
      </c>
    </row>
    <row r="58" spans="1:21" ht="13.5" customHeight="1">
      <c r="A58" s="3"/>
      <c r="S58" s="549" t="str">
        <f t="shared" si="10"/>
        <v/>
      </c>
      <c r="T58" s="550">
        <v>39</v>
      </c>
      <c r="U58" s="118">
        <v>4250</v>
      </c>
    </row>
    <row r="59" spans="1:21" ht="13.5" customHeight="1">
      <c r="A59" s="3"/>
      <c r="S59" s="549" t="str">
        <f t="shared" si="10"/>
        <v/>
      </c>
      <c r="T59" s="550">
        <v>46</v>
      </c>
      <c r="U59" s="118">
        <v>5440</v>
      </c>
    </row>
    <row r="60" spans="1:21" ht="13.5" customHeight="1">
      <c r="A60" s="3"/>
      <c r="S60" s="549" t="str">
        <f t="shared" si="10"/>
        <v/>
      </c>
      <c r="T60" s="550">
        <v>53</v>
      </c>
      <c r="U60" s="118">
        <v>6790</v>
      </c>
    </row>
    <row r="61" spans="1:21" ht="13.5" customHeight="1">
      <c r="A61" s="3"/>
      <c r="S61" s="549" t="str">
        <f>IF(OR(AND($C$6&gt;T60,$U$32&gt;0,$T$32=1),AND($U$32=0,$T$32=2)),"該当","")</f>
        <v/>
      </c>
      <c r="T61" s="16" t="s">
        <v>249</v>
      </c>
      <c r="U61" s="118">
        <v>8340</v>
      </c>
    </row>
    <row r="62" spans="1:21" ht="13.5" customHeight="1">
      <c r="A62" s="3"/>
      <c r="S62" s="549" t="str">
        <f>IF(OR(AND($U$32&gt;0,$T$32=2),AND($U$32=0,$T$32=3)),"該当","")</f>
        <v/>
      </c>
      <c r="T62" s="16" t="s">
        <v>250</v>
      </c>
      <c r="U62" s="118">
        <v>9780</v>
      </c>
    </row>
    <row r="63" spans="1:21" ht="13.5" customHeight="1">
      <c r="A63" s="3"/>
      <c r="S63" s="549" t="str">
        <f>IF(OR(AND($U$32&gt;0,$T$32=3),AND($U$32=0,$T$32=4)),"該当","")</f>
        <v/>
      </c>
      <c r="T63" s="16" t="s">
        <v>251</v>
      </c>
      <c r="U63" s="118">
        <v>14500</v>
      </c>
    </row>
    <row r="64" spans="1:21" ht="13.5" customHeight="1">
      <c r="A64" s="3"/>
      <c r="S64" s="549" t="str">
        <f>IF(OR(AND($U$32&gt;0,$T$32=4),AND($U$32=0,$T$32=5)),"該当","")</f>
        <v/>
      </c>
      <c r="T64" s="16" t="s">
        <v>252</v>
      </c>
      <c r="U64" s="118">
        <v>20080</v>
      </c>
    </row>
    <row r="65" spans="1:21" ht="13.5" customHeight="1">
      <c r="A65" s="3"/>
      <c r="S65" s="549" t="str">
        <f>IF(OR(AND($U$32&gt;0,$T$32=5),AND($U$32=0,$T$32=6)),"該当","")</f>
        <v>該当</v>
      </c>
      <c r="T65" s="16" t="s">
        <v>253</v>
      </c>
      <c r="U65" s="118">
        <v>23480</v>
      </c>
    </row>
    <row r="66" spans="1:21" ht="13.5" customHeight="1">
      <c r="A66" s="3"/>
      <c r="S66" s="549" t="str">
        <f>IF(OR(AND($U$32&gt;0,$T$32=6),AND($U$32=0,$T$32=7)),"該当","")</f>
        <v/>
      </c>
      <c r="T66" s="16" t="s">
        <v>254</v>
      </c>
      <c r="U66" s="118">
        <v>26490</v>
      </c>
    </row>
    <row r="67" spans="1:21" ht="13.5" customHeight="1">
      <c r="A67" s="3"/>
      <c r="S67" s="549" t="str">
        <f>IF(OR(AND($U$32&gt;0,$T$32=7),AND($U$32=0,$T$32=8)),"該当","")</f>
        <v/>
      </c>
      <c r="T67" s="16" t="s">
        <v>255</v>
      </c>
      <c r="U67" s="118">
        <v>31000</v>
      </c>
    </row>
    <row r="68" spans="1:21" ht="13.5" customHeight="1">
      <c r="A68" s="3"/>
      <c r="H68" s="3"/>
      <c r="I68" s="3"/>
      <c r="J68" s="3"/>
      <c r="S68" s="549" t="str">
        <f>IF(OR(AND($U$32&gt;0,$T$32=8),AND($U$32=0,$T$32=9)),"該当","")</f>
        <v/>
      </c>
      <c r="T68" s="16" t="s">
        <v>256</v>
      </c>
      <c r="U68" s="118">
        <v>35000</v>
      </c>
    </row>
    <row r="69" spans="1:21" ht="13.5" customHeight="1">
      <c r="A69" s="3"/>
      <c r="H69" s="3"/>
      <c r="I69" s="3"/>
      <c r="J69" s="3"/>
      <c r="S69" s="549" t="str">
        <f>IF(OR(AND($U$32&gt;0,$T$32=9),AND($U$32=0,$T$32=10)),"該当","")</f>
        <v/>
      </c>
      <c r="T69" s="16" t="s">
        <v>257</v>
      </c>
      <c r="U69" s="118">
        <v>39340</v>
      </c>
    </row>
    <row r="70" spans="1:21" ht="13.5" customHeight="1">
      <c r="A70" s="3"/>
      <c r="H70" s="3"/>
      <c r="I70" s="3"/>
      <c r="J70" s="3"/>
      <c r="S70" s="549" t="str">
        <f>IF(OR(AND($U$32&gt;0,$T$32=10),AND($U$32=0,$T$32=11)),"該当","")</f>
        <v/>
      </c>
      <c r="T70" s="16" t="s">
        <v>258</v>
      </c>
      <c r="U70" s="118">
        <v>43340</v>
      </c>
    </row>
    <row r="71" spans="1:21" ht="13.5" customHeight="1">
      <c r="A71" s="3"/>
      <c r="H71" s="3"/>
      <c r="I71" s="3"/>
      <c r="J71" s="3"/>
      <c r="S71" s="549" t="str">
        <f>IF(OR(AND($U$32&gt;0,$T$32=11),AND($U$32=0,$T$32=12)),"該当","")</f>
        <v/>
      </c>
      <c r="T71" s="16" t="s">
        <v>259</v>
      </c>
      <c r="U71" s="118">
        <v>49090</v>
      </c>
    </row>
    <row r="72" spans="1:21" ht="13.5" customHeight="1">
      <c r="A72" s="3"/>
      <c r="H72" s="3"/>
      <c r="I72" s="3"/>
      <c r="J72" s="3"/>
      <c r="S72" s="549" t="str">
        <f>IF($C$6=T72,"該当","")</f>
        <v/>
      </c>
      <c r="T72" s="551">
        <v>366</v>
      </c>
      <c r="U72" s="118">
        <v>49220</v>
      </c>
    </row>
    <row r="73" spans="1:21" ht="13.5" customHeight="1">
      <c r="A73" s="3"/>
      <c r="H73" s="3"/>
      <c r="I73" s="3"/>
      <c r="J73" s="3"/>
      <c r="S73" s="549" t="str">
        <f t="shared" ref="S73:S74" si="17">IF($C$6=T73,"該当","")</f>
        <v/>
      </c>
      <c r="T73" s="551">
        <v>367</v>
      </c>
      <c r="U73" s="118">
        <v>49350</v>
      </c>
    </row>
    <row r="74" spans="1:21" ht="13.5" customHeight="1" thickBot="1">
      <c r="A74" s="3"/>
      <c r="B74" s="3"/>
      <c r="C74" s="3"/>
      <c r="D74" s="3"/>
      <c r="E74" s="3"/>
      <c r="F74" s="3"/>
      <c r="G74" s="3"/>
      <c r="H74" s="3"/>
      <c r="I74" s="3"/>
      <c r="J74" s="3"/>
      <c r="S74" s="552" t="str">
        <f t="shared" si="17"/>
        <v/>
      </c>
      <c r="T74" s="553">
        <v>368</v>
      </c>
      <c r="U74" s="120">
        <v>49490</v>
      </c>
    </row>
    <row r="75" spans="1:21" ht="13.5" customHeight="1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1" ht="13.5" customHeight="1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1" ht="13.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21" ht="13.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21" ht="13.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21" ht="13.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3.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3.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3.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3.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3.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3.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3.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3.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3.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3.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3.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3.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3.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3.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3.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3.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3.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3.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3.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3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3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3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3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3.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3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3.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3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2" ht="13.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2" ht="13.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3.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3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3.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3.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3.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3.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3.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3.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3.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3.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3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3.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3.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3.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3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3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3.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3.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3.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3.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3.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3.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3.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3.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3.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3.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3.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3.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3.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3.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3.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3.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3.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3.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3.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3.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3.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3.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3.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3.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3.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3.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3.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3.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2" ht="13.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2" ht="13.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2" ht="13.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2" ht="13.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2" ht="13.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2" ht="13.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2" ht="13.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ht="13.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ht="13.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ht="13.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ht="13.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ht="13.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ht="13.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ht="13.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ht="13.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ht="13.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ht="13.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ht="13.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ht="13.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ht="13.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ht="13.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ht="13.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ht="13.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ht="13.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ht="13.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ht="13.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ht="13.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ht="13.5" customHeight="1">
      <c r="A181" s="3"/>
      <c r="B181" s="3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ht="13.5" customHeight="1">
      <c r="A182" s="3"/>
      <c r="B182" s="33"/>
      <c r="C182" s="3"/>
      <c r="D182" s="3"/>
      <c r="E182" s="3"/>
      <c r="F182" s="3"/>
      <c r="G182" s="3"/>
      <c r="H182" s="3"/>
      <c r="I182" s="3"/>
      <c r="J182" s="3"/>
      <c r="K182"/>
    </row>
    <row r="183" spans="1:11" ht="13.5" customHeight="1">
      <c r="B183" s="33"/>
      <c r="C183" s="3"/>
      <c r="D183" s="3"/>
      <c r="E183" s="3"/>
      <c r="F183" s="3"/>
      <c r="G183" s="3"/>
      <c r="H183" s="3"/>
      <c r="I183" s="3"/>
      <c r="J183" s="3"/>
      <c r="K183"/>
    </row>
    <row r="184" spans="1:11" ht="13.5" customHeight="1">
      <c r="B184" s="33"/>
      <c r="C184" s="3"/>
      <c r="D184" s="3"/>
      <c r="E184" s="3"/>
      <c r="F184" s="3"/>
      <c r="G184" s="3"/>
      <c r="H184" s="3"/>
      <c r="I184" s="3"/>
      <c r="J184" s="3"/>
      <c r="K184"/>
    </row>
    <row r="185" spans="1:11" ht="13.5" customHeight="1">
      <c r="B185" s="33"/>
      <c r="C185" s="3"/>
      <c r="D185" s="3"/>
      <c r="E185" s="3"/>
      <c r="F185" s="3"/>
      <c r="G185" s="3"/>
      <c r="H185" s="3"/>
      <c r="I185" s="3"/>
      <c r="J185" s="3"/>
      <c r="K185"/>
    </row>
    <row r="186" spans="1:11" ht="13.5" customHeight="1">
      <c r="B186" s="33"/>
      <c r="C186" s="3"/>
      <c r="D186" s="3"/>
      <c r="E186" s="3"/>
      <c r="F186" s="3"/>
      <c r="G186" s="3"/>
      <c r="H186" s="3"/>
      <c r="I186" s="3"/>
      <c r="J186" s="3"/>
      <c r="K186"/>
    </row>
    <row r="187" spans="1:11" ht="13.5" customHeight="1">
      <c r="B187" s="33"/>
      <c r="C187" s="3"/>
      <c r="D187" s="3"/>
      <c r="E187" s="3"/>
      <c r="F187" s="3"/>
      <c r="G187" s="3"/>
      <c r="H187" s="3"/>
      <c r="I187" s="3"/>
      <c r="J187" s="3"/>
      <c r="K187"/>
    </row>
    <row r="188" spans="1:11" ht="13.5" customHeight="1">
      <c r="B188" s="33"/>
      <c r="C188" s="3"/>
      <c r="D188" s="3"/>
      <c r="E188" s="3"/>
      <c r="F188" s="3"/>
      <c r="G188" s="3"/>
      <c r="H188" s="3"/>
      <c r="I188" s="3"/>
      <c r="J188" s="3"/>
      <c r="K188"/>
    </row>
  </sheetData>
  <mergeCells count="31">
    <mergeCell ref="N12:N14"/>
    <mergeCell ref="O12:O14"/>
    <mergeCell ref="G47:G48"/>
    <mergeCell ref="B47:B48"/>
    <mergeCell ref="C47:C48"/>
    <mergeCell ref="D47:D48"/>
    <mergeCell ref="E47:E48"/>
    <mergeCell ref="F47:F48"/>
    <mergeCell ref="H47:H48"/>
    <mergeCell ref="B34:B35"/>
    <mergeCell ref="C34:C35"/>
    <mergeCell ref="D34:D35"/>
    <mergeCell ref="E34:E35"/>
    <mergeCell ref="F34:F35"/>
    <mergeCell ref="I34:I35"/>
    <mergeCell ref="U12:U14"/>
    <mergeCell ref="V12:V14"/>
    <mergeCell ref="W12:W14"/>
    <mergeCell ref="D4:E4"/>
    <mergeCell ref="N4:O4"/>
    <mergeCell ref="R4:S4"/>
    <mergeCell ref="K8:L8"/>
    <mergeCell ref="Q4:Q5"/>
    <mergeCell ref="P12:P14"/>
    <mergeCell ref="Q12:Q14"/>
    <mergeCell ref="R12:R14"/>
    <mergeCell ref="S12:S14"/>
    <mergeCell ref="T12:T14"/>
    <mergeCell ref="K12:K14"/>
    <mergeCell ref="L12:L14"/>
    <mergeCell ref="M12:M14"/>
  </mergeCells>
  <phoneticPr fontId="2"/>
  <dataValidations count="1">
    <dataValidation imeMode="off" allowBlank="1" showInputMessage="1" showErrorMessage="1" sqref="D49:E55" xr:uid="{00000000-0002-0000-0200-000000000000}"/>
  </dataValidations>
  <pageMargins left="0.75" right="0.75" top="1" bottom="1" header="0.51200000000000001" footer="0.51200000000000001"/>
  <pageSetup paperSize="8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20</vt:i4>
      </vt:variant>
    </vt:vector>
  </HeadingPairs>
  <TitlesOfParts>
    <vt:vector size="23" baseType="lpstr">
      <vt:lpstr>J13W費用試算</vt:lpstr>
      <vt:lpstr>J13W月別受入費明細</vt:lpstr>
      <vt:lpstr>J13W計算シート</vt:lpstr>
      <vt:lpstr>【海外旅行保険】</vt:lpstr>
      <vt:lpstr>【月別標準日数】</vt:lpstr>
      <vt:lpstr>【研修申込区分】</vt:lpstr>
      <vt:lpstr>【研修申込区分別費用】</vt:lpstr>
      <vt:lpstr>【研修日数】</vt:lpstr>
      <vt:lpstr>【研修旅行】</vt:lpstr>
      <vt:lpstr>【国内移動費】</vt:lpstr>
      <vt:lpstr>【雑費】</vt:lpstr>
      <vt:lpstr>【実地研修中の宿泊】</vt:lpstr>
      <vt:lpstr>【宿舎費_会社施設】</vt:lpstr>
      <vt:lpstr>【宿舎費_外部宿舎】</vt:lpstr>
      <vt:lpstr>【宿舎費_研修センター】</vt:lpstr>
      <vt:lpstr>【宿舎費_研修旅行中】</vt:lpstr>
      <vt:lpstr>【食費_昼食】</vt:lpstr>
      <vt:lpstr>【食費_朝食】</vt:lpstr>
      <vt:lpstr>【食費_夕食】</vt:lpstr>
      <vt:lpstr>【日程表】</vt:lpstr>
      <vt:lpstr>【日程表項番】</vt:lpstr>
      <vt:lpstr>J13W月別受入費明細!Print_Area</vt:lpstr>
      <vt:lpstr>J13W費用試算!Print_Area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2025-02-03T04:06:29Z</cp:lastPrinted>
  <dcterms:created xsi:type="dcterms:W3CDTF">2003-03-31T05:39:15Z</dcterms:created>
  <dcterms:modified xsi:type="dcterms:W3CDTF">2025-03-11T10:01:38Z</dcterms:modified>
</cp:coreProperties>
</file>