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tsrfl011\04.企業連携G\410 書式\受入研修\2026年度\001 試算表\試算例（別バージョン）\"/>
    </mc:Choice>
  </mc:AlternateContent>
  <xr:revisionPtr revIDLastSave="0" documentId="13_ncr:1_{884559BE-6AFE-4717-9FD4-3C24278C514C}" xr6:coauthVersionLast="47" xr6:coauthVersionMax="47" xr10:uidLastSave="{00000000-0000-0000-0000-000000000000}"/>
  <bookViews>
    <workbookView xWindow="-108" yWindow="-108" windowWidth="23256" windowHeight="12456" tabRatio="864" xr2:uid="{00000000-000D-0000-FFFF-FFFF00000000}"/>
  </bookViews>
  <sheets>
    <sheet name="6W費用試算" sheetId="2" r:id="rId1"/>
    <sheet name="J6W費用試算 (オリジナル)" sheetId="9" state="hidden" r:id="rId2"/>
    <sheet name="6W月別受入費明細" sheetId="8" r:id="rId3"/>
    <sheet name="試算表のみかた" sheetId="11" r:id="rId4"/>
    <sheet name="通知書の見方" sheetId="10" r:id="rId5"/>
    <sheet name="6W計算シート" sheetId="7" r:id="rId6"/>
  </sheets>
  <definedNames>
    <definedName name="【海外旅行保険】" localSheetId="3">#REF!</definedName>
    <definedName name="【海外旅行保険】">'6W計算シート'!$R$34:$T$74</definedName>
    <definedName name="【月別標準日数】" comment="セル範囲" localSheetId="3">#REF!</definedName>
    <definedName name="【月別標準日数】" comment="セル範囲">'6W計算シート'!$J$32:$L$43</definedName>
    <definedName name="【研修申込区分】" comment="試算条件" localSheetId="3">#REF!</definedName>
    <definedName name="【研修申込区分】" comment="試算条件">'6W計算シート'!$B$33</definedName>
    <definedName name="【研修申込区分別費用】" comment="金額" localSheetId="3">#REF!</definedName>
    <definedName name="【研修申込区分別費用】" comment="金額">'6W計算シート'!$B$36:$H$43</definedName>
    <definedName name="【研修日数】" comment="セル範囲" localSheetId="3">#REF!</definedName>
    <definedName name="【研修日数】" comment="セル範囲">'6W計算シート'!$M$15:$V$27</definedName>
    <definedName name="【研修旅行】" localSheetId="3">#REF!</definedName>
    <definedName name="【研修旅行】">'6W計算シート'!$O$32:$P$33</definedName>
    <definedName name="【雑費】" comment="金額" localSheetId="3">#REF!</definedName>
    <definedName name="【雑費】" comment="金額">'6W計算シート'!$D$20</definedName>
    <definedName name="【実地研修中の宿泊】" comment="試算条件" localSheetId="3">#REF!</definedName>
    <definedName name="【実地研修中の宿泊】" comment="試算条件">'6W計算シート'!$B$24</definedName>
    <definedName name="【宿舎費_会社施設】" comment="金額" localSheetId="3">#REF!</definedName>
    <definedName name="【宿舎費_会社施設】" comment="金額">'6W計算シート'!$D$27</definedName>
    <definedName name="【宿舎費_外部宿舎】" comment="金額" localSheetId="3">#REF!</definedName>
    <definedName name="【宿舎費_外部宿舎】" comment="金額">'6W計算シート'!$D$28</definedName>
    <definedName name="【宿舎費_研修センター】" comment="金額" localSheetId="3">#REF!</definedName>
    <definedName name="【宿舎費_研修センター】" comment="金額">'6W計算シート'!$D$26</definedName>
    <definedName name="【宿舎費_研修旅行中】" comment="金額" localSheetId="3">#REF!</definedName>
    <definedName name="【宿舎費_研修旅行中】" comment="金額">'6W計算シート'!$D$29</definedName>
    <definedName name="【食費_昼食】" comment="金額" localSheetId="3">#REF!</definedName>
    <definedName name="【食費_昼食】" comment="金額">'6W計算シート'!$D$18</definedName>
    <definedName name="【食費_朝食】" comment="金額" localSheetId="3">#REF!</definedName>
    <definedName name="【食費_朝食】" comment="金額">'6W計算シート'!$D$17</definedName>
    <definedName name="【食費_夕食】" comment="金額" localSheetId="3">#REF!</definedName>
    <definedName name="【食費_夕食】" comment="金額">'6W計算シート'!$D$19</definedName>
    <definedName name="【日程表】" comment="セル範囲" localSheetId="3">#REF!</definedName>
    <definedName name="【日程表】" comment="セル範囲">'6W計算シート'!$B$50:$G$62</definedName>
    <definedName name="【日程表項番】" comment="試算条件" localSheetId="3">#REF!</definedName>
    <definedName name="【日程表項番】" comment="試算条件">'6W計算シート'!$B$47</definedName>
    <definedName name="_xlnm.Print_Area" localSheetId="2">'6W月別受入費明細'!$A$1:$AF$49</definedName>
    <definedName name="_xlnm.Print_Area" localSheetId="0">'6W費用試算'!$A$1:$Z$62</definedName>
    <definedName name="_xlnm.Print_Area" localSheetId="3">試算表のみかた!$A$1:$R$236</definedName>
    <definedName name="_xlnm.Print_Area" localSheetId="4">通知書の見方!$A$1:$W$236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7" l="1"/>
  <c r="C60" i="7"/>
  <c r="B24" i="7"/>
  <c r="B33" i="7"/>
  <c r="J26" i="2" s="1"/>
  <c r="N58" i="2" s="1"/>
  <c r="H31" i="2"/>
  <c r="H30" i="2"/>
  <c r="G32" i="2" l="1"/>
  <c r="G3" i="2"/>
  <c r="E40" i="7"/>
  <c r="E39" i="7"/>
  <c r="I56" i="9"/>
  <c r="I55" i="9"/>
  <c r="I53" i="9"/>
  <c r="H45" i="9"/>
  <c r="J45" i="9" s="1"/>
  <c r="Q44" i="9" s="1"/>
  <c r="Y52" i="9" s="1"/>
  <c r="H36" i="9"/>
  <c r="Q35" i="9"/>
  <c r="H34" i="9"/>
  <c r="H33" i="9"/>
  <c r="G33" i="9"/>
  <c r="H32" i="9"/>
  <c r="H58" i="9" s="1"/>
  <c r="H31" i="9"/>
  <c r="J31" i="9" s="1"/>
  <c r="H30" i="9"/>
  <c r="J30" i="9" s="1"/>
  <c r="H29" i="9"/>
  <c r="H54" i="9" s="1"/>
  <c r="H28" i="9"/>
  <c r="H53" i="9" s="1"/>
  <c r="J26" i="9"/>
  <c r="U35" i="9" s="1"/>
  <c r="L25" i="9"/>
  <c r="M17" i="9"/>
  <c r="Z40" i="9" s="1"/>
  <c r="F12" i="9"/>
  <c r="I35" i="9" s="1"/>
  <c r="I57" i="9" s="1"/>
  <c r="M11" i="9"/>
  <c r="J11" i="9"/>
  <c r="M3" i="9"/>
  <c r="G3" i="9"/>
  <c r="Q43" i="9" s="1"/>
  <c r="Y51" i="9" s="1"/>
  <c r="K26" i="9" l="1"/>
  <c r="H55" i="9"/>
  <c r="J55" i="9" s="1"/>
  <c r="J53" i="9"/>
  <c r="H56" i="9"/>
  <c r="J56" i="9" s="1"/>
  <c r="I34" i="9"/>
  <c r="J34" i="9" s="1"/>
  <c r="U38" i="9" s="1"/>
  <c r="Z38" i="9" s="1"/>
  <c r="J37" i="9"/>
  <c r="K30" i="9"/>
  <c r="K31" i="9"/>
  <c r="Z35" i="9"/>
  <c r="J28" i="9"/>
  <c r="W6" i="9"/>
  <c r="U40" i="9"/>
  <c r="K34" i="9" l="1"/>
  <c r="W14" i="9"/>
  <c r="K37" i="9"/>
  <c r="W7" i="9"/>
  <c r="W8" i="9"/>
  <c r="K28" i="9"/>
  <c r="W6" i="2" l="1"/>
  <c r="E42" i="7" l="1"/>
  <c r="E42" i="8" l="1"/>
  <c r="AF42" i="8" s="1"/>
  <c r="E41" i="7" l="1"/>
  <c r="G54" i="7" l="1"/>
  <c r="H54" i="7" s="1"/>
  <c r="C54" i="7" s="1"/>
  <c r="F12" i="2" l="1"/>
  <c r="I35" i="2" l="1"/>
  <c r="I58" i="2" s="1"/>
  <c r="C6" i="7"/>
  <c r="R72" i="7" l="1"/>
  <c r="R74" i="7"/>
  <c r="R73" i="7"/>
  <c r="R37" i="7"/>
  <c r="R39" i="7"/>
  <c r="R41" i="7"/>
  <c r="R43" i="7"/>
  <c r="R45" i="7"/>
  <c r="R47" i="7"/>
  <c r="R49" i="7"/>
  <c r="R51" i="7"/>
  <c r="R53" i="7"/>
  <c r="R55" i="7"/>
  <c r="R57" i="7"/>
  <c r="R59" i="7"/>
  <c r="R35" i="7"/>
  <c r="R36" i="7"/>
  <c r="R38" i="7"/>
  <c r="R40" i="7"/>
  <c r="R42" i="7"/>
  <c r="R44" i="7"/>
  <c r="R46" i="7"/>
  <c r="R48" i="7"/>
  <c r="R50" i="7"/>
  <c r="R52" i="7"/>
  <c r="R54" i="7"/>
  <c r="R56" i="7"/>
  <c r="R58" i="7"/>
  <c r="R60" i="7"/>
  <c r="R34" i="7"/>
  <c r="G60" i="7"/>
  <c r="H60" i="7" s="1"/>
  <c r="F1" i="8" l="1"/>
  <c r="F3" i="8" l="1"/>
  <c r="D18" i="8" l="1"/>
  <c r="I57" i="2"/>
  <c r="H57" i="2"/>
  <c r="I54" i="2"/>
  <c r="H46" i="2"/>
  <c r="J46" i="2" s="1"/>
  <c r="V44" i="2" s="1"/>
  <c r="X44" i="2" s="1"/>
  <c r="I34" i="2"/>
  <c r="H34" i="2"/>
  <c r="H33" i="2"/>
  <c r="G33" i="2"/>
  <c r="D22" i="8" s="1"/>
  <c r="J31" i="2"/>
  <c r="H29" i="2"/>
  <c r="H55" i="2" s="1"/>
  <c r="H28" i="2"/>
  <c r="H54" i="2" s="1"/>
  <c r="G42" i="8"/>
  <c r="L25" i="2"/>
  <c r="K26" i="2" s="1"/>
  <c r="M17" i="2"/>
  <c r="M11" i="2"/>
  <c r="H32" i="2" s="1"/>
  <c r="J11" i="2"/>
  <c r="N57" i="2" l="1"/>
  <c r="S37" i="2"/>
  <c r="J57" i="2"/>
  <c r="E16" i="8" s="1"/>
  <c r="H59" i="2"/>
  <c r="E20" i="8"/>
  <c r="J54" i="2"/>
  <c r="G13" i="8"/>
  <c r="AF13" i="8" s="1"/>
  <c r="E28" i="8"/>
  <c r="G28" i="8" s="1"/>
  <c r="AF28" i="8" s="1"/>
  <c r="J34" i="2"/>
  <c r="J28" i="2"/>
  <c r="K31" i="2"/>
  <c r="S32" i="2"/>
  <c r="J37" i="2"/>
  <c r="L5" i="7"/>
  <c r="N55" i="2" l="1"/>
  <c r="S35" i="2"/>
  <c r="G43" i="8"/>
  <c r="E25" i="8"/>
  <c r="E43" i="8"/>
  <c r="K37" i="2"/>
  <c r="G20" i="8"/>
  <c r="K34" i="2"/>
  <c r="W14" i="2"/>
  <c r="E46" i="8"/>
  <c r="E23" i="8"/>
  <c r="E13" i="8"/>
  <c r="W7" i="2"/>
  <c r="W8" i="2" s="1"/>
  <c r="K28" i="2"/>
  <c r="G62" i="7"/>
  <c r="H62" i="7" s="1"/>
  <c r="C62" i="7" s="1"/>
  <c r="G61" i="7"/>
  <c r="H61" i="7" s="1"/>
  <c r="C61" i="7" s="1"/>
  <c r="G59" i="7"/>
  <c r="H59" i="7" s="1"/>
  <c r="C59" i="7" s="1"/>
  <c r="G58" i="7"/>
  <c r="H58" i="7" s="1"/>
  <c r="C58" i="7" s="1"/>
  <c r="E38" i="7" l="1"/>
  <c r="E37" i="7"/>
  <c r="D27" i="8" s="1"/>
  <c r="E36" i="7"/>
  <c r="N25" i="9" l="1"/>
  <c r="M26" i="9" s="1"/>
  <c r="Q41" i="9"/>
  <c r="Y49" i="9" s="1"/>
  <c r="N25" i="2"/>
  <c r="H36" i="2"/>
  <c r="H56" i="2"/>
  <c r="M28" i="2" l="1"/>
  <c r="M26" i="2"/>
  <c r="M31" i="9"/>
  <c r="M30" i="9"/>
  <c r="M37" i="9"/>
  <c r="M28" i="9"/>
  <c r="M34" i="9"/>
  <c r="M37" i="2"/>
  <c r="M31" i="2"/>
  <c r="M34" i="2"/>
  <c r="G53" i="7" l="1"/>
  <c r="H53" i="7" s="1"/>
  <c r="C53" i="7" s="1"/>
  <c r="G57" i="7"/>
  <c r="L7" i="7"/>
  <c r="L6" i="7"/>
  <c r="G51" i="7"/>
  <c r="H51" i="7" s="1"/>
  <c r="C51" i="7" s="1"/>
  <c r="G52" i="7"/>
  <c r="H52" i="7" s="1"/>
  <c r="C52" i="7" s="1"/>
  <c r="G55" i="7"/>
  <c r="H55" i="7" s="1"/>
  <c r="C55" i="7" s="1"/>
  <c r="G56" i="7"/>
  <c r="H56" i="7" s="1"/>
  <c r="C56" i="7" s="1"/>
  <c r="G50" i="7"/>
  <c r="H50" i="7" s="1"/>
  <c r="C50" i="7" s="1"/>
  <c r="H57" i="7" l="1"/>
  <c r="C57" i="7" s="1"/>
  <c r="B47" i="7" s="1"/>
  <c r="C8" i="7" s="1"/>
  <c r="C5" i="7" s="1"/>
  <c r="F9" i="9" s="1"/>
  <c r="B46" i="8"/>
  <c r="C9" i="7" l="1"/>
  <c r="C13" i="7" s="1"/>
  <c r="B24" i="8" s="1"/>
  <c r="N5" i="7"/>
  <c r="C10" i="7"/>
  <c r="G40" i="8" s="1"/>
  <c r="I29" i="9"/>
  <c r="I54" i="9" s="1"/>
  <c r="J54" i="9" s="1"/>
  <c r="L15" i="7"/>
  <c r="N15" i="7" s="1"/>
  <c r="F9" i="2"/>
  <c r="K15" i="7"/>
  <c r="E5" i="7"/>
  <c r="C7" i="7"/>
  <c r="H3" i="8" s="1"/>
  <c r="L8" i="7"/>
  <c r="O15" i="7" l="1"/>
  <c r="P15" i="7" s="1"/>
  <c r="Q15" i="7" s="1"/>
  <c r="R15" i="7" s="1"/>
  <c r="F46" i="8"/>
  <c r="G46" i="8" s="1"/>
  <c r="G47" i="8" s="1"/>
  <c r="J29" i="9"/>
  <c r="K29" i="9" s="1"/>
  <c r="C11" i="7"/>
  <c r="K16" i="7"/>
  <c r="M15" i="7"/>
  <c r="K5" i="7" s="1"/>
  <c r="J5" i="7" s="1"/>
  <c r="L16" i="7"/>
  <c r="N16" i="7" s="1"/>
  <c r="C12" i="7"/>
  <c r="I36" i="9"/>
  <c r="J36" i="9" s="1"/>
  <c r="I32" i="9"/>
  <c r="I33" i="9"/>
  <c r="J33" i="9" s="1"/>
  <c r="I32" i="2"/>
  <c r="I59" i="2" s="1"/>
  <c r="J59" i="2" s="1"/>
  <c r="I36" i="2"/>
  <c r="J36" i="2" s="1"/>
  <c r="C14" i="7"/>
  <c r="I33" i="2"/>
  <c r="B45" i="8" s="1"/>
  <c r="S15" i="7" l="1"/>
  <c r="T15" i="7" s="1"/>
  <c r="U15" i="7" s="1"/>
  <c r="F8" i="8" s="1"/>
  <c r="O16" i="7"/>
  <c r="P16" i="7" s="1"/>
  <c r="Q16" i="7" s="1"/>
  <c r="R16" i="7" s="1"/>
  <c r="M29" i="9"/>
  <c r="L17" i="7"/>
  <c r="N17" i="7" s="1"/>
  <c r="M16" i="7"/>
  <c r="K17" i="7"/>
  <c r="N32" i="7"/>
  <c r="D11" i="7"/>
  <c r="J32" i="9"/>
  <c r="W10" i="9" s="1"/>
  <c r="W11" i="9" s="1"/>
  <c r="I58" i="9"/>
  <c r="J58" i="9" s="1"/>
  <c r="E24" i="8"/>
  <c r="N56" i="2"/>
  <c r="S36" i="2"/>
  <c r="M33" i="9"/>
  <c r="K33" i="9"/>
  <c r="W13" i="9"/>
  <c r="W15" i="9" s="1"/>
  <c r="U37" i="9"/>
  <c r="Z37" i="9" s="1"/>
  <c r="J32" i="2"/>
  <c r="M32" i="2" s="1"/>
  <c r="W18" i="9"/>
  <c r="K36" i="9"/>
  <c r="W17" i="9"/>
  <c r="M36" i="9"/>
  <c r="U39" i="9"/>
  <c r="Z39" i="9" s="1"/>
  <c r="I40" i="8"/>
  <c r="H40" i="8" s="1"/>
  <c r="F14" i="9"/>
  <c r="S32" i="7"/>
  <c r="T32" i="7"/>
  <c r="K36" i="2"/>
  <c r="W17" i="2"/>
  <c r="M36" i="2"/>
  <c r="E14" i="7"/>
  <c r="J33" i="2"/>
  <c r="F14" i="2"/>
  <c r="H4" i="8" s="1"/>
  <c r="E18" i="8"/>
  <c r="S16" i="7" l="1"/>
  <c r="T16" i="7" s="1"/>
  <c r="H10" i="8" s="1"/>
  <c r="U36" i="9"/>
  <c r="Z36" i="9" s="1"/>
  <c r="Z41" i="9" s="1"/>
  <c r="E44" i="8"/>
  <c r="F10" i="8"/>
  <c r="F7" i="8" s="1"/>
  <c r="O17" i="7"/>
  <c r="P17" i="7" s="1"/>
  <c r="Q17" i="7" s="1"/>
  <c r="R17" i="7" s="1"/>
  <c r="M17" i="7"/>
  <c r="K18" i="7"/>
  <c r="L18" i="7"/>
  <c r="N18" i="7" s="1"/>
  <c r="N33" i="7"/>
  <c r="P32" i="7" s="1"/>
  <c r="M32" i="9"/>
  <c r="K32" i="9"/>
  <c r="W10" i="2"/>
  <c r="W11" i="2" s="1"/>
  <c r="K32" i="2"/>
  <c r="E21" i="8"/>
  <c r="W18" i="2"/>
  <c r="W19" i="2" s="1"/>
  <c r="N53" i="2"/>
  <c r="S33" i="2"/>
  <c r="N54" i="2"/>
  <c r="S34" i="2"/>
  <c r="W19" i="9"/>
  <c r="R61" i="7"/>
  <c r="R62" i="7"/>
  <c r="R64" i="7"/>
  <c r="R66" i="7"/>
  <c r="R68" i="7"/>
  <c r="R70" i="7"/>
  <c r="R63" i="7"/>
  <c r="R65" i="7"/>
  <c r="R67" i="7"/>
  <c r="R69" i="7"/>
  <c r="R71" i="7"/>
  <c r="W13" i="2"/>
  <c r="W15" i="2" s="1"/>
  <c r="E22" i="8"/>
  <c r="M33" i="2"/>
  <c r="E45" i="8"/>
  <c r="K33" i="2"/>
  <c r="V15" i="7"/>
  <c r="F9" i="8" s="1"/>
  <c r="F21" i="8" s="1"/>
  <c r="G21" i="8" s="1"/>
  <c r="E47" i="8" l="1"/>
  <c r="F23" i="8"/>
  <c r="G23" i="8" s="1"/>
  <c r="U41" i="9"/>
  <c r="O18" i="7"/>
  <c r="P18" i="7" s="1"/>
  <c r="Q18" i="7" s="1"/>
  <c r="S18" i="7" s="1"/>
  <c r="M18" i="7"/>
  <c r="K19" i="7"/>
  <c r="L19" i="7"/>
  <c r="N19" i="7" s="1"/>
  <c r="S17" i="7"/>
  <c r="T17" i="7" s="1"/>
  <c r="J10" i="8" s="1"/>
  <c r="O33" i="7"/>
  <c r="P33" i="7"/>
  <c r="E26" i="8"/>
  <c r="N60" i="2"/>
  <c r="S38" i="2"/>
  <c r="J35" i="9"/>
  <c r="J35" i="2"/>
  <c r="U16" i="7"/>
  <c r="H8" i="8" s="1"/>
  <c r="F6" i="8"/>
  <c r="F18" i="8"/>
  <c r="G18" i="8" s="1"/>
  <c r="F24" i="8"/>
  <c r="G24" i="8" s="1"/>
  <c r="F22" i="8"/>
  <c r="G22" i="8" s="1"/>
  <c r="H7" i="8"/>
  <c r="H6" i="8" s="1"/>
  <c r="H23" i="8"/>
  <c r="I23" i="8" s="1"/>
  <c r="L20" i="7" l="1"/>
  <c r="N20" i="7" s="1"/>
  <c r="K20" i="7"/>
  <c r="R18" i="7"/>
  <c r="T18" i="7" s="1"/>
  <c r="L10" i="8" s="1"/>
  <c r="M19" i="7"/>
  <c r="O19" i="7"/>
  <c r="P19" i="7" s="1"/>
  <c r="Q19" i="7" s="1"/>
  <c r="S19" i="7" s="1"/>
  <c r="V16" i="7"/>
  <c r="H9" i="8" s="1"/>
  <c r="H18" i="8" s="1"/>
  <c r="I18" i="8" s="1"/>
  <c r="V38" i="2"/>
  <c r="V35" i="2" s="1"/>
  <c r="Q52" i="2"/>
  <c r="K35" i="9"/>
  <c r="K38" i="9" s="1"/>
  <c r="Q34" i="9" s="1"/>
  <c r="J57" i="9"/>
  <c r="M35" i="9"/>
  <c r="M38" i="9" s="1"/>
  <c r="J38" i="9"/>
  <c r="S29" i="9" s="1"/>
  <c r="J58" i="2"/>
  <c r="M35" i="2"/>
  <c r="K35" i="2"/>
  <c r="U17" i="7"/>
  <c r="V17" i="7" s="1"/>
  <c r="J7" i="8"/>
  <c r="J6" i="8" s="1"/>
  <c r="J23" i="8"/>
  <c r="K23" i="8" s="1"/>
  <c r="O20" i="7" l="1"/>
  <c r="P20" i="7" s="1"/>
  <c r="Q20" i="7" s="1"/>
  <c r="R20" i="7" s="1"/>
  <c r="K21" i="7"/>
  <c r="M20" i="7"/>
  <c r="L21" i="7"/>
  <c r="N21" i="7" s="1"/>
  <c r="R19" i="7"/>
  <c r="T19" i="7" s="1"/>
  <c r="N10" i="8" s="1"/>
  <c r="H24" i="8"/>
  <c r="I24" i="8" s="1"/>
  <c r="H22" i="8"/>
  <c r="I22" i="8" s="1"/>
  <c r="H21" i="8"/>
  <c r="I21" i="8" s="1"/>
  <c r="L40" i="2"/>
  <c r="J44" i="9"/>
  <c r="J47" i="9" s="1"/>
  <c r="Q40" i="9"/>
  <c r="Y48" i="9" s="1"/>
  <c r="U32" i="9"/>
  <c r="J59" i="9"/>
  <c r="U31" i="9" s="1"/>
  <c r="J9" i="8"/>
  <c r="J18" i="8" s="1"/>
  <c r="K18" i="8" s="1"/>
  <c r="H44" i="8"/>
  <c r="I44" i="8" s="1"/>
  <c r="S28" i="2"/>
  <c r="E17" i="8"/>
  <c r="J8" i="8"/>
  <c r="U18" i="7"/>
  <c r="L8" i="8" s="1"/>
  <c r="L7" i="8"/>
  <c r="L6" i="8" s="1"/>
  <c r="L23" i="8"/>
  <c r="M23" i="8" s="1"/>
  <c r="L22" i="7" l="1"/>
  <c r="S20" i="7"/>
  <c r="T20" i="7" s="1"/>
  <c r="P10" i="8" s="1"/>
  <c r="M21" i="7"/>
  <c r="O21" i="7"/>
  <c r="P21" i="7" s="1"/>
  <c r="Q21" i="7" s="1"/>
  <c r="R21" i="7" s="1"/>
  <c r="K22" i="7"/>
  <c r="M22" i="7" s="1"/>
  <c r="U33" i="9"/>
  <c r="V38" i="9" s="1"/>
  <c r="J21" i="8"/>
  <c r="K21" i="8" s="1"/>
  <c r="J24" i="8"/>
  <c r="K24" i="8" s="1"/>
  <c r="Y46" i="9"/>
  <c r="V49" i="9"/>
  <c r="J22" i="8"/>
  <c r="K22" i="8" s="1"/>
  <c r="V18" i="7"/>
  <c r="U19" i="7"/>
  <c r="V19" i="7" s="1"/>
  <c r="N9" i="8" s="1"/>
  <c r="N18" i="8" s="1"/>
  <c r="O18" i="8" s="1"/>
  <c r="N7" i="8"/>
  <c r="N6" i="8" s="1"/>
  <c r="N23" i="8"/>
  <c r="O23" i="8" s="1"/>
  <c r="N22" i="7"/>
  <c r="O22" i="7" s="1"/>
  <c r="P22" i="7" s="1"/>
  <c r="Q22" i="7" s="1"/>
  <c r="L23" i="7"/>
  <c r="K23" i="7" l="1"/>
  <c r="K24" i="7" s="1"/>
  <c r="S21" i="7"/>
  <c r="T21" i="7" s="1"/>
  <c r="R10" i="8" s="1"/>
  <c r="L9" i="8"/>
  <c r="L18" i="8" s="1"/>
  <c r="M18" i="8" s="1"/>
  <c r="W55" i="9"/>
  <c r="W56" i="9" s="1"/>
  <c r="N24" i="8"/>
  <c r="O24" i="8" s="1"/>
  <c r="N22" i="8"/>
  <c r="O22" i="8" s="1"/>
  <c r="N21" i="8"/>
  <c r="O21" i="8" s="1"/>
  <c r="U20" i="7"/>
  <c r="P8" i="8" s="1"/>
  <c r="N8" i="8"/>
  <c r="P7" i="8"/>
  <c r="P6" i="8" s="1"/>
  <c r="P23" i="8"/>
  <c r="Q23" i="8" s="1"/>
  <c r="R22" i="7"/>
  <c r="S22" i="7"/>
  <c r="N23" i="7"/>
  <c r="L24" i="7"/>
  <c r="M23" i="7" l="1"/>
  <c r="O23" i="7"/>
  <c r="P23" i="7" s="1"/>
  <c r="Q23" i="7" s="1"/>
  <c r="R23" i="7" s="1"/>
  <c r="L22" i="8"/>
  <c r="M22" i="8" s="1"/>
  <c r="L24" i="8"/>
  <c r="M24" i="8" s="1"/>
  <c r="L21" i="8"/>
  <c r="M21" i="8" s="1"/>
  <c r="U21" i="7"/>
  <c r="V21" i="7" s="1"/>
  <c r="V20" i="7"/>
  <c r="P9" i="8" s="1"/>
  <c r="P18" i="8" s="1"/>
  <c r="Q18" i="8" s="1"/>
  <c r="T22" i="7"/>
  <c r="R7" i="8"/>
  <c r="R6" i="8" s="1"/>
  <c r="R23" i="8"/>
  <c r="S23" i="8" s="1"/>
  <c r="N24" i="7"/>
  <c r="O24" i="7" s="1"/>
  <c r="P24" i="7" s="1"/>
  <c r="Q24" i="7" s="1"/>
  <c r="K25" i="7"/>
  <c r="L25" i="7"/>
  <c r="M24" i="7"/>
  <c r="S23" i="7" l="1"/>
  <c r="R9" i="8"/>
  <c r="R18" i="8" s="1"/>
  <c r="S18" i="8" s="1"/>
  <c r="H45" i="8"/>
  <c r="H46" i="8"/>
  <c r="I46" i="8" s="1"/>
  <c r="U22" i="7"/>
  <c r="T8" i="8" s="1"/>
  <c r="P21" i="8"/>
  <c r="Q21" i="8" s="1"/>
  <c r="R8" i="8"/>
  <c r="T10" i="8"/>
  <c r="P22" i="8"/>
  <c r="Q22" i="8" s="1"/>
  <c r="P24" i="8"/>
  <c r="Q24" i="8" s="1"/>
  <c r="T23" i="7"/>
  <c r="V10" i="8" s="1"/>
  <c r="R24" i="7"/>
  <c r="S24" i="7"/>
  <c r="N25" i="7"/>
  <c r="O25" i="7" s="1"/>
  <c r="P25" i="7" s="1"/>
  <c r="Q25" i="7" s="1"/>
  <c r="K26" i="7"/>
  <c r="L26" i="7"/>
  <c r="M25" i="7"/>
  <c r="R22" i="8" l="1"/>
  <c r="S22" i="8" s="1"/>
  <c r="R21" i="8"/>
  <c r="S21" i="8" s="1"/>
  <c r="R24" i="8"/>
  <c r="S24" i="8" s="1"/>
  <c r="I45" i="8"/>
  <c r="J40" i="8"/>
  <c r="V22" i="7"/>
  <c r="T9" i="8" s="1"/>
  <c r="T18" i="8" s="1"/>
  <c r="U18" i="8" s="1"/>
  <c r="T7" i="8"/>
  <c r="T6" i="8" s="1"/>
  <c r="T23" i="8"/>
  <c r="U23" i="8" s="1"/>
  <c r="U23" i="7"/>
  <c r="V23" i="7" s="1"/>
  <c r="V9" i="8" s="1"/>
  <c r="V18" i="8" s="1"/>
  <c r="W18" i="8" s="1"/>
  <c r="T24" i="7"/>
  <c r="X10" i="8" s="1"/>
  <c r="V7" i="8"/>
  <c r="V6" i="8" s="1"/>
  <c r="V23" i="8"/>
  <c r="W23" i="8" s="1"/>
  <c r="R25" i="7"/>
  <c r="S25" i="7"/>
  <c r="N26" i="7"/>
  <c r="O26" i="7" s="1"/>
  <c r="P26" i="7" s="1"/>
  <c r="Q26" i="7" s="1"/>
  <c r="K27" i="7"/>
  <c r="L27" i="7"/>
  <c r="M26" i="7"/>
  <c r="J44" i="8" l="1"/>
  <c r="K44" i="8" s="1"/>
  <c r="J46" i="8"/>
  <c r="K46" i="8" s="1"/>
  <c r="J45" i="8"/>
  <c r="K45" i="8" s="1"/>
  <c r="N27" i="7"/>
  <c r="O27" i="7" s="1"/>
  <c r="P27" i="7" s="1"/>
  <c r="Q27" i="7" s="1"/>
  <c r="O32" i="7"/>
  <c r="T15" i="8" s="1"/>
  <c r="T14" i="8" s="1"/>
  <c r="U14" i="8" s="1"/>
  <c r="T21" i="8"/>
  <c r="U21" i="8" s="1"/>
  <c r="T22" i="8"/>
  <c r="U22" i="8" s="1"/>
  <c r="T24" i="8"/>
  <c r="U24" i="8" s="1"/>
  <c r="V8" i="8"/>
  <c r="V21" i="8"/>
  <c r="W21" i="8" s="1"/>
  <c r="V22" i="8"/>
  <c r="W22" i="8" s="1"/>
  <c r="V24" i="8"/>
  <c r="W24" i="8" s="1"/>
  <c r="U24" i="7"/>
  <c r="X8" i="8" s="1"/>
  <c r="T25" i="7"/>
  <c r="X7" i="8"/>
  <c r="X6" i="8" s="1"/>
  <c r="X23" i="8"/>
  <c r="Y23" i="8" s="1"/>
  <c r="R26" i="7"/>
  <c r="S26" i="7"/>
  <c r="M27" i="7"/>
  <c r="V15" i="8" l="1"/>
  <c r="V14" i="8" s="1"/>
  <c r="W14" i="8" s="1"/>
  <c r="F15" i="8"/>
  <c r="F14" i="8" s="1"/>
  <c r="G14" i="8" s="1"/>
  <c r="H15" i="8"/>
  <c r="J15" i="8"/>
  <c r="J14" i="8" s="1"/>
  <c r="K14" i="8" s="1"/>
  <c r="L15" i="8"/>
  <c r="N15" i="8"/>
  <c r="N14" i="8" s="1"/>
  <c r="O14" i="8" s="1"/>
  <c r="P15" i="8"/>
  <c r="R15" i="8"/>
  <c r="R14" i="8" s="1"/>
  <c r="S14" i="8" s="1"/>
  <c r="U25" i="7"/>
  <c r="Z8" i="8" s="1"/>
  <c r="U15" i="8"/>
  <c r="T16" i="8"/>
  <c r="U16" i="8" s="1"/>
  <c r="Z10" i="8"/>
  <c r="Z7" i="8" s="1"/>
  <c r="Z6" i="8" s="1"/>
  <c r="V24" i="7"/>
  <c r="X9" i="8" s="1"/>
  <c r="X22" i="8" s="1"/>
  <c r="Y22" i="8" s="1"/>
  <c r="T26" i="7"/>
  <c r="AB10" i="8" s="1"/>
  <c r="X15" i="8"/>
  <c r="X14" i="8" s="1"/>
  <c r="Y14" i="8" s="1"/>
  <c r="R27" i="7"/>
  <c r="S27" i="7"/>
  <c r="W15" i="8" l="1"/>
  <c r="V16" i="8"/>
  <c r="W16" i="8" s="1"/>
  <c r="P14" i="8"/>
  <c r="Q14" i="8" s="1"/>
  <c r="Q15" i="8"/>
  <c r="P16" i="8"/>
  <c r="Q16" i="8" s="1"/>
  <c r="N16" i="8"/>
  <c r="O16" i="8" s="1"/>
  <c r="O15" i="8"/>
  <c r="L14" i="8"/>
  <c r="M14" i="8" s="1"/>
  <c r="L16" i="8"/>
  <c r="M16" i="8" s="1"/>
  <c r="M15" i="8"/>
  <c r="R16" i="8"/>
  <c r="S16" i="8" s="1"/>
  <c r="S15" i="8"/>
  <c r="K15" i="8"/>
  <c r="J16" i="8"/>
  <c r="K16" i="8" s="1"/>
  <c r="H14" i="8"/>
  <c r="I14" i="8" s="1"/>
  <c r="H16" i="8"/>
  <c r="I16" i="8" s="1"/>
  <c r="I15" i="8"/>
  <c r="G15" i="8"/>
  <c r="F16" i="8"/>
  <c r="G16" i="8" s="1"/>
  <c r="V25" i="7"/>
  <c r="Z9" i="8" s="1"/>
  <c r="Z24" i="8" s="1"/>
  <c r="AA24" i="8" s="1"/>
  <c r="Z23" i="8"/>
  <c r="AA23" i="8" s="1"/>
  <c r="X18" i="8"/>
  <c r="Y18" i="8" s="1"/>
  <c r="X21" i="8"/>
  <c r="Y21" i="8" s="1"/>
  <c r="X24" i="8"/>
  <c r="Y24" i="8" s="1"/>
  <c r="T27" i="7"/>
  <c r="AD10" i="8" s="1"/>
  <c r="U26" i="7"/>
  <c r="AB8" i="8" s="1"/>
  <c r="X16" i="8"/>
  <c r="Y16" i="8" s="1"/>
  <c r="Y15" i="8"/>
  <c r="Z15" i="8"/>
  <c r="Z14" i="8" s="1"/>
  <c r="AA14" i="8" s="1"/>
  <c r="AB7" i="8"/>
  <c r="AB6" i="8" s="1"/>
  <c r="AB23" i="8"/>
  <c r="AC23" i="8" s="1"/>
  <c r="Z18" i="8" l="1"/>
  <c r="AA18" i="8" s="1"/>
  <c r="Z21" i="8"/>
  <c r="AA21" i="8" s="1"/>
  <c r="Z22" i="8"/>
  <c r="AA22" i="8" s="1"/>
  <c r="V26" i="7"/>
  <c r="AB9" i="8" s="1"/>
  <c r="T28" i="7"/>
  <c r="U27" i="7"/>
  <c r="V27" i="7" s="1"/>
  <c r="Z16" i="8"/>
  <c r="AA16" i="8" s="1"/>
  <c r="AA15" i="8"/>
  <c r="AB15" i="8"/>
  <c r="AB14" i="8" s="1"/>
  <c r="AC14" i="8" s="1"/>
  <c r="AD7" i="8"/>
  <c r="AD6" i="8" s="1"/>
  <c r="AD23" i="8"/>
  <c r="AE23" i="8" s="1"/>
  <c r="AF10" i="8"/>
  <c r="K7" i="7"/>
  <c r="G17" i="8" l="1"/>
  <c r="I17" i="8"/>
  <c r="K17" i="8"/>
  <c r="M17" i="8"/>
  <c r="O17" i="8"/>
  <c r="O19" i="8" s="1"/>
  <c r="Q17" i="8"/>
  <c r="Q19" i="8" s="1"/>
  <c r="S17" i="8"/>
  <c r="S19" i="8" s="1"/>
  <c r="U17" i="8"/>
  <c r="U19" i="8" s="1"/>
  <c r="W17" i="8"/>
  <c r="W19" i="8" s="1"/>
  <c r="Y17" i="8"/>
  <c r="Y19" i="8" s="1"/>
  <c r="AC17" i="8"/>
  <c r="AA17" i="8"/>
  <c r="AA19" i="8" s="1"/>
  <c r="AE17" i="8"/>
  <c r="AB18" i="8"/>
  <c r="AC18" i="8" s="1"/>
  <c r="AB21" i="8"/>
  <c r="AC21" i="8" s="1"/>
  <c r="AB24" i="8"/>
  <c r="AC24" i="8" s="1"/>
  <c r="AB22" i="8"/>
  <c r="AC22" i="8" s="1"/>
  <c r="AD8" i="8"/>
  <c r="AF8" i="8" s="1"/>
  <c r="AD9" i="8"/>
  <c r="AD21" i="8" s="1"/>
  <c r="AE21" i="8" s="1"/>
  <c r="K6" i="7"/>
  <c r="U28" i="7"/>
  <c r="V28" i="7"/>
  <c r="AB16" i="8"/>
  <c r="AC16" i="8" s="1"/>
  <c r="AC15" i="8"/>
  <c r="AD15" i="8"/>
  <c r="J7" i="7"/>
  <c r="AF9" i="8" l="1"/>
  <c r="J6" i="7"/>
  <c r="I43" i="8"/>
  <c r="K43" i="8"/>
  <c r="K47" i="8" s="1"/>
  <c r="AD14" i="8"/>
  <c r="AE14" i="8" s="1"/>
  <c r="AD18" i="8"/>
  <c r="AE18" i="8" s="1"/>
  <c r="AD24" i="8"/>
  <c r="AE24" i="8" s="1"/>
  <c r="AD22" i="8"/>
  <c r="AE22" i="8" s="1"/>
  <c r="AC19" i="8"/>
  <c r="AD16" i="8"/>
  <c r="AE16" i="8" s="1"/>
  <c r="AE15" i="8"/>
  <c r="AF15" i="8" l="1"/>
  <c r="I47" i="8"/>
  <c r="L40" i="8"/>
  <c r="I25" i="8"/>
  <c r="I26" i="8" s="1"/>
  <c r="G25" i="8"/>
  <c r="G26" i="8" s="1"/>
  <c r="K25" i="8"/>
  <c r="K26" i="8" s="1"/>
  <c r="M25" i="8"/>
  <c r="M26" i="8" s="1"/>
  <c r="O25" i="8"/>
  <c r="O26" i="8" s="1"/>
  <c r="O27" i="8" s="1"/>
  <c r="O29" i="8" s="1"/>
  <c r="N30" i="8" s="1"/>
  <c r="Q25" i="8"/>
  <c r="Q26" i="8" s="1"/>
  <c r="Q27" i="8" s="1"/>
  <c r="Q29" i="8" s="1"/>
  <c r="P30" i="8" s="1"/>
  <c r="S25" i="8"/>
  <c r="S26" i="8" s="1"/>
  <c r="S27" i="8" s="1"/>
  <c r="S29" i="8" s="1"/>
  <c r="R30" i="8" s="1"/>
  <c r="W25" i="8"/>
  <c r="W26" i="8" s="1"/>
  <c r="W27" i="8" s="1"/>
  <c r="W29" i="8" s="1"/>
  <c r="V30" i="8" s="1"/>
  <c r="U25" i="8"/>
  <c r="U26" i="8" s="1"/>
  <c r="U27" i="8" s="1"/>
  <c r="U29" i="8" s="1"/>
  <c r="T30" i="8" s="1"/>
  <c r="Y25" i="8"/>
  <c r="Y26" i="8" s="1"/>
  <c r="Y27" i="8" s="1"/>
  <c r="Y29" i="8" s="1"/>
  <c r="X30" i="8" s="1"/>
  <c r="AA25" i="8"/>
  <c r="AA26" i="8" s="1"/>
  <c r="AA27" i="8" s="1"/>
  <c r="AA29" i="8" s="1"/>
  <c r="Z30" i="8" s="1"/>
  <c r="AC25" i="8"/>
  <c r="AC26" i="8" s="1"/>
  <c r="AC27" i="8" s="1"/>
  <c r="AC29" i="8" s="1"/>
  <c r="AB30" i="8" s="1"/>
  <c r="AE25" i="8"/>
  <c r="AE26" i="8" s="1"/>
  <c r="AF17" i="8"/>
  <c r="AE19" i="8"/>
  <c r="AF14" i="8"/>
  <c r="M43" i="8" l="1"/>
  <c r="L46" i="8"/>
  <c r="M46" i="8" s="1"/>
  <c r="L44" i="8"/>
  <c r="M44" i="8" s="1"/>
  <c r="L45" i="8"/>
  <c r="AF26" i="8"/>
  <c r="AE27" i="8"/>
  <c r="M45" i="8" l="1"/>
  <c r="N40" i="8" s="1"/>
  <c r="AE29" i="8"/>
  <c r="AD30" i="8" s="1"/>
  <c r="M47" i="8" l="1"/>
  <c r="O43" i="8"/>
  <c r="N46" i="8"/>
  <c r="O46" i="8" s="1"/>
  <c r="N44" i="8"/>
  <c r="O44" i="8" s="1"/>
  <c r="N45" i="8"/>
  <c r="O45" i="8" l="1"/>
  <c r="P40" i="8" s="1"/>
  <c r="I56" i="2"/>
  <c r="J56" i="2" s="1"/>
  <c r="J30" i="2"/>
  <c r="I29" i="2"/>
  <c r="I55" i="2" s="1"/>
  <c r="J55" i="2" s="1"/>
  <c r="O47" i="8" l="1"/>
  <c r="Q43" i="8"/>
  <c r="P44" i="8"/>
  <c r="Q44" i="8" s="1"/>
  <c r="P45" i="8"/>
  <c r="P46" i="8"/>
  <c r="Q46" i="8" s="1"/>
  <c r="J29" i="2"/>
  <c r="J38" i="2" s="1"/>
  <c r="M30" i="2"/>
  <c r="E15" i="8"/>
  <c r="J60" i="2"/>
  <c r="S27" i="2" s="1"/>
  <c r="S30" i="2" s="1"/>
  <c r="V30" i="2" s="1"/>
  <c r="Q66" i="2" s="1"/>
  <c r="E14" i="8"/>
  <c r="K30" i="2"/>
  <c r="V28" i="2" l="1"/>
  <c r="L41" i="2" s="1"/>
  <c r="E19" i="8"/>
  <c r="Q45" i="8"/>
  <c r="R40" i="8" s="1"/>
  <c r="K29" i="2"/>
  <c r="K38" i="2" s="1"/>
  <c r="M29" i="2"/>
  <c r="M38" i="2" s="1"/>
  <c r="J45" i="2" s="1"/>
  <c r="X30" i="2" s="1"/>
  <c r="Q47" i="8" l="1"/>
  <c r="S43" i="8"/>
  <c r="R44" i="8"/>
  <c r="S44" i="8" s="1"/>
  <c r="R45" i="8"/>
  <c r="R46" i="8"/>
  <c r="S46" i="8" s="1"/>
  <c r="G19" i="8"/>
  <c r="M19" i="8"/>
  <c r="M27" i="8" s="1"/>
  <c r="M29" i="8" s="1"/>
  <c r="L30" i="8" s="1"/>
  <c r="K19" i="8"/>
  <c r="K27" i="8" s="1"/>
  <c r="K29" i="8" s="1"/>
  <c r="J30" i="8" s="1"/>
  <c r="S45" i="8" l="1"/>
  <c r="S47" i="8" s="1"/>
  <c r="J48" i="2"/>
  <c r="E27" i="8"/>
  <c r="E29" i="8" s="1"/>
  <c r="E30" i="8" s="1"/>
  <c r="G27" i="8"/>
  <c r="V52" i="2" l="1"/>
  <c r="T55" i="2" s="1"/>
  <c r="T40" i="8"/>
  <c r="G29" i="8"/>
  <c r="F30" i="8" s="1"/>
  <c r="U43" i="8" l="1"/>
  <c r="T46" i="8"/>
  <c r="U46" i="8" s="1"/>
  <c r="T44" i="8"/>
  <c r="U44" i="8" s="1"/>
  <c r="T45" i="8"/>
  <c r="F31" i="8"/>
  <c r="I19" i="8"/>
  <c r="U45" i="8" l="1"/>
  <c r="U47" i="8" s="1"/>
  <c r="AF19" i="8"/>
  <c r="AF25" i="8"/>
  <c r="I27" i="8"/>
  <c r="AF23" i="8"/>
  <c r="AF16" i="8"/>
  <c r="AF18" i="8"/>
  <c r="AF21" i="8"/>
  <c r="AF22" i="8"/>
  <c r="AF20" i="8"/>
  <c r="AF24" i="8"/>
  <c r="V40" i="8" l="1"/>
  <c r="AF27" i="8"/>
  <c r="I29" i="8"/>
  <c r="H30" i="8" s="1"/>
  <c r="W43" i="8" l="1"/>
  <c r="V44" i="8"/>
  <c r="W44" i="8" s="1"/>
  <c r="V45" i="8"/>
  <c r="V46" i="8"/>
  <c r="W46" i="8" s="1"/>
  <c r="AF29" i="8"/>
  <c r="W45" i="8" l="1"/>
  <c r="W47" i="8" s="1"/>
  <c r="AF30" i="8"/>
  <c r="H31" i="8"/>
  <c r="J31" i="8" s="1"/>
  <c r="L31" i="8" s="1"/>
  <c r="N31" i="8" s="1"/>
  <c r="P31" i="8" s="1"/>
  <c r="R31" i="8" s="1"/>
  <c r="T31" i="8" s="1"/>
  <c r="V31" i="8" s="1"/>
  <c r="X31" i="8" s="1"/>
  <c r="Z31" i="8" s="1"/>
  <c r="AB31" i="8" s="1"/>
  <c r="AD31" i="8" s="1"/>
  <c r="X40" i="8" l="1"/>
  <c r="Y43" i="8" l="1"/>
  <c r="X45" i="8"/>
  <c r="X44" i="8"/>
  <c r="Y44" i="8" s="1"/>
  <c r="X46" i="8"/>
  <c r="Y46" i="8" s="1"/>
  <c r="Y45" i="8" l="1"/>
  <c r="Y47" i="8" s="1"/>
  <c r="Z40" i="8" l="1"/>
  <c r="AA43" i="8" l="1"/>
  <c r="Z44" i="8"/>
  <c r="AA44" i="8" s="1"/>
  <c r="Z46" i="8"/>
  <c r="AA46" i="8" s="1"/>
  <c r="Z45" i="8"/>
  <c r="AA45" i="8" s="1"/>
  <c r="AB40" i="8" l="1"/>
  <c r="AA47" i="8"/>
  <c r="AC43" i="8" l="1"/>
  <c r="AB44" i="8"/>
  <c r="AC44" i="8" s="1"/>
  <c r="AB45" i="8"/>
  <c r="AC45" i="8" s="1"/>
  <c r="AB46" i="8"/>
  <c r="AC46" i="8" s="1"/>
  <c r="AD40" i="8" l="1"/>
  <c r="AC47" i="8"/>
  <c r="AE43" i="8" l="1"/>
  <c r="AD45" i="8"/>
  <c r="AE45" i="8" s="1"/>
  <c r="AD46" i="8"/>
  <c r="AE46" i="8" s="1"/>
  <c r="AD44" i="8"/>
  <c r="AE44" i="8" s="1"/>
  <c r="AF44" i="8" l="1"/>
  <c r="AF45" i="8"/>
  <c r="AF46" i="8"/>
  <c r="AE47" i="8"/>
  <c r="AF43" i="8"/>
  <c r="AF4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F7" authorId="0" shapeId="0" xr:uid="{42E30189-D2D2-493B-B959-94F17C6AE393}">
      <text>
        <r>
          <rPr>
            <sz val="9"/>
            <color indexed="81"/>
            <rFont val="MS P ゴシック"/>
            <family val="3"/>
            <charset val="128"/>
          </rPr>
          <t xml:space="preserve">プルダウンで選択
</t>
        </r>
      </text>
    </comment>
    <comment ref="L9" authorId="0" shapeId="0" xr:uid="{252F00F2-619D-48D9-A094-D92CAD8D203A}">
      <text>
        <r>
          <rPr>
            <sz val="9"/>
            <color indexed="81"/>
            <rFont val="MS P ゴシック"/>
            <family val="3"/>
            <charset val="128"/>
          </rPr>
          <t>プルダウンで選択</t>
        </r>
      </text>
    </comment>
    <comment ref="F13" authorId="0" shapeId="0" xr:uid="{B1783FFA-37DF-47AA-9C55-5511BDDE0B06}">
      <text>
        <r>
          <rPr>
            <sz val="9"/>
            <color indexed="81"/>
            <rFont val="MS P ゴシック"/>
            <family val="3"/>
            <charset val="128"/>
          </rPr>
          <t>プルダウンで選択</t>
        </r>
      </text>
    </comment>
  </commentList>
</comments>
</file>

<file path=xl/sharedStrings.xml><?xml version="1.0" encoding="utf-8"?>
<sst xmlns="http://schemas.openxmlformats.org/spreadsheetml/2006/main" count="673" uniqueCount="356">
  <si>
    <t>基準額</t>
  </si>
  <si>
    <t>雑費</t>
    <rPh sb="0" eb="2">
      <t>ザッピ</t>
    </rPh>
    <phoneticPr fontId="2"/>
  </si>
  <si>
    <t>実地研修費</t>
    <rPh sb="0" eb="2">
      <t>ジッチ</t>
    </rPh>
    <rPh sb="2" eb="4">
      <t>ケンシュウ</t>
    </rPh>
    <rPh sb="4" eb="5">
      <t>ヒ</t>
    </rPh>
    <phoneticPr fontId="2"/>
  </si>
  <si>
    <t>計</t>
    <rPh sb="0" eb="1">
      <t>ケイ</t>
    </rPh>
    <phoneticPr fontId="2"/>
  </si>
  <si>
    <t>全体研修期間</t>
    <rPh sb="0" eb="2">
      <t>ゼンタイ</t>
    </rPh>
    <rPh sb="2" eb="4">
      <t>ケンシュウ</t>
    </rPh>
    <rPh sb="4" eb="6">
      <t>キカン</t>
    </rPh>
    <phoneticPr fontId="2"/>
  </si>
  <si>
    <t>一般研修期間</t>
    <rPh sb="0" eb="2">
      <t>イッパン</t>
    </rPh>
    <rPh sb="2" eb="4">
      <t>ケンシュウ</t>
    </rPh>
    <rPh sb="4" eb="6">
      <t>キカン</t>
    </rPh>
    <phoneticPr fontId="2"/>
  </si>
  <si>
    <t>1ヶ月目</t>
    <rPh sb="2" eb="3">
      <t>ゲツ</t>
    </rPh>
    <rPh sb="3" eb="4">
      <t>メ</t>
    </rPh>
    <phoneticPr fontId="2"/>
  </si>
  <si>
    <t>2ヶ月目</t>
    <rPh sb="2" eb="3">
      <t>ゲツ</t>
    </rPh>
    <rPh sb="3" eb="4">
      <t>メ</t>
    </rPh>
    <phoneticPr fontId="2"/>
  </si>
  <si>
    <t>3ヶ月目</t>
    <rPh sb="2" eb="3">
      <t>ゲツ</t>
    </rPh>
    <rPh sb="3" eb="4">
      <t>メ</t>
    </rPh>
    <phoneticPr fontId="2"/>
  </si>
  <si>
    <t>4ヶ月目</t>
    <rPh sb="2" eb="3">
      <t>ゲツ</t>
    </rPh>
    <rPh sb="3" eb="4">
      <t>メ</t>
    </rPh>
    <phoneticPr fontId="2"/>
  </si>
  <si>
    <t>5ヶ月目</t>
    <rPh sb="2" eb="3">
      <t>ゲツ</t>
    </rPh>
    <rPh sb="3" eb="4">
      <t>メ</t>
    </rPh>
    <phoneticPr fontId="2"/>
  </si>
  <si>
    <t>6ヶ月目</t>
    <rPh sb="2" eb="3">
      <t>ゲツ</t>
    </rPh>
    <rPh sb="3" eb="4">
      <t>メ</t>
    </rPh>
    <phoneticPr fontId="2"/>
  </si>
  <si>
    <t>7ヶ月目</t>
    <rPh sb="2" eb="3">
      <t>ゲツ</t>
    </rPh>
    <rPh sb="3" eb="4">
      <t>メ</t>
    </rPh>
    <phoneticPr fontId="2"/>
  </si>
  <si>
    <t>8ヶ月目</t>
    <rPh sb="2" eb="3">
      <t>ゲツ</t>
    </rPh>
    <rPh sb="3" eb="4">
      <t>メ</t>
    </rPh>
    <phoneticPr fontId="2"/>
  </si>
  <si>
    <t>9ヶ月目</t>
    <rPh sb="2" eb="3">
      <t>ゲツ</t>
    </rPh>
    <rPh sb="3" eb="4">
      <t>メ</t>
    </rPh>
    <phoneticPr fontId="2"/>
  </si>
  <si>
    <t>10ヶ月目</t>
    <rPh sb="3" eb="4">
      <t>ゲツ</t>
    </rPh>
    <rPh sb="4" eb="5">
      <t>メ</t>
    </rPh>
    <phoneticPr fontId="2"/>
  </si>
  <si>
    <t>11ヶ月目</t>
    <rPh sb="3" eb="4">
      <t>ゲツ</t>
    </rPh>
    <rPh sb="4" eb="5">
      <t>メ</t>
    </rPh>
    <phoneticPr fontId="2"/>
  </si>
  <si>
    <t>12ヶ月目</t>
    <rPh sb="3" eb="4">
      <t>ゲツ</t>
    </rPh>
    <rPh sb="4" eb="5">
      <t>メ</t>
    </rPh>
    <phoneticPr fontId="2"/>
  </si>
  <si>
    <t>13ヶ月目</t>
    <rPh sb="3" eb="4">
      <t>ゲツ</t>
    </rPh>
    <rPh sb="4" eb="5">
      <t>メ</t>
    </rPh>
    <phoneticPr fontId="2"/>
  </si>
  <si>
    <t>【期間情報】</t>
    <rPh sb="1" eb="3">
      <t>キカン</t>
    </rPh>
    <rPh sb="3" eb="5">
      <t>ジョウホウ</t>
    </rPh>
    <phoneticPr fontId="2"/>
  </si>
  <si>
    <t>【研修日数計算】</t>
    <rPh sb="1" eb="3">
      <t>ケンシュウ</t>
    </rPh>
    <rPh sb="3" eb="5">
      <t>ニッスウ</t>
    </rPh>
    <rPh sb="5" eb="7">
      <t>ケイサン</t>
    </rPh>
    <phoneticPr fontId="2"/>
  </si>
  <si>
    <t>金額</t>
    <rPh sb="0" eb="2">
      <t>キンガク</t>
    </rPh>
    <phoneticPr fontId="2"/>
  </si>
  <si>
    <t>食費</t>
  </si>
  <si>
    <t>受入会社施設</t>
    <rPh sb="0" eb="2">
      <t>ウケイレ</t>
    </rPh>
    <rPh sb="2" eb="4">
      <t>カイシャ</t>
    </rPh>
    <rPh sb="4" eb="6">
      <t>シセツ</t>
    </rPh>
    <phoneticPr fontId="2"/>
  </si>
  <si>
    <t>外部宿舎</t>
    <rPh sb="0" eb="2">
      <t>ガイブ</t>
    </rPh>
    <rPh sb="2" eb="4">
      <t>シュクシャ</t>
    </rPh>
    <phoneticPr fontId="2"/>
  </si>
  <si>
    <t>備考</t>
    <rPh sb="0" eb="2">
      <t>ビコウ</t>
    </rPh>
    <phoneticPr fontId="2"/>
  </si>
  <si>
    <t>実地研修開始日</t>
    <rPh sb="0" eb="2">
      <t>ジッチ</t>
    </rPh>
    <rPh sb="2" eb="4">
      <t>ケンシュウ</t>
    </rPh>
    <rPh sb="4" eb="6">
      <t>カイシ</t>
    </rPh>
    <rPh sb="6" eb="7">
      <t>ビ</t>
    </rPh>
    <phoneticPr fontId="2"/>
  </si>
  <si>
    <t>項番</t>
    <rPh sb="0" eb="1">
      <t>コウ</t>
    </rPh>
    <rPh sb="1" eb="2">
      <t>バン</t>
    </rPh>
    <phoneticPr fontId="2"/>
  </si>
  <si>
    <t>開始日</t>
    <rPh sb="0" eb="3">
      <t>カイシビ</t>
    </rPh>
    <phoneticPr fontId="2"/>
  </si>
  <si>
    <t>終了日</t>
    <rPh sb="0" eb="3">
      <t>シュウリョウビ</t>
    </rPh>
    <phoneticPr fontId="2"/>
  </si>
  <si>
    <t>場所</t>
    <rPh sb="0" eb="2">
      <t>バショ</t>
    </rPh>
    <phoneticPr fontId="2"/>
  </si>
  <si>
    <t>月末日</t>
    <rPh sb="0" eb="1">
      <t>ゲツ</t>
    </rPh>
    <rPh sb="1" eb="3">
      <t>マツジツ</t>
    </rPh>
    <phoneticPr fontId="2"/>
  </si>
  <si>
    <t>期間</t>
    <rPh sb="0" eb="2">
      <t>キカン</t>
    </rPh>
    <phoneticPr fontId="2"/>
  </si>
  <si>
    <t>研修日数</t>
    <rPh sb="0" eb="2">
      <t>ケンシュウ</t>
    </rPh>
    <rPh sb="2" eb="4">
      <t>ニッスウ</t>
    </rPh>
    <phoneticPr fontId="2"/>
  </si>
  <si>
    <t>実地研修
日数</t>
    <rPh sb="0" eb="2">
      <t>ジッチ</t>
    </rPh>
    <rPh sb="2" eb="4">
      <t>ケンシュウ</t>
    </rPh>
    <rPh sb="5" eb="7">
      <t>ニッスウ</t>
    </rPh>
    <phoneticPr fontId="2"/>
  </si>
  <si>
    <t>一般研修
日数</t>
    <rPh sb="0" eb="2">
      <t>イッパン</t>
    </rPh>
    <rPh sb="2" eb="4">
      <t>ケンシュウ</t>
    </rPh>
    <rPh sb="5" eb="7">
      <t>ニッスウ</t>
    </rPh>
    <phoneticPr fontId="2"/>
  </si>
  <si>
    <t>【日程表】</t>
    <rPh sb="1" eb="3">
      <t>ニッテイ</t>
    </rPh>
    <rPh sb="3" eb="4">
      <t>ヒョウ</t>
    </rPh>
    <phoneticPr fontId="2"/>
  </si>
  <si>
    <t>閏年
対象月？</t>
    <rPh sb="0" eb="2">
      <t>ウルウドシ</t>
    </rPh>
    <rPh sb="3" eb="5">
      <t>タイショウ</t>
    </rPh>
    <rPh sb="5" eb="6">
      <t>ツキ</t>
    </rPh>
    <phoneticPr fontId="2"/>
  </si>
  <si>
    <t>区分</t>
    <rPh sb="0" eb="2">
      <t>クブン</t>
    </rPh>
    <phoneticPr fontId="2"/>
  </si>
  <si>
    <t>日数
(来日日含む)</t>
    <rPh sb="0" eb="2">
      <t>ニッスウ</t>
    </rPh>
    <rPh sb="4" eb="6">
      <t>ライニチ</t>
    </rPh>
    <rPh sb="6" eb="7">
      <t>ビ</t>
    </rPh>
    <rPh sb="7" eb="8">
      <t>フク</t>
    </rPh>
    <phoneticPr fontId="2"/>
  </si>
  <si>
    <t>来日日</t>
    <rPh sb="0" eb="2">
      <t>ライニチ</t>
    </rPh>
    <rPh sb="2" eb="3">
      <t>ヒ</t>
    </rPh>
    <phoneticPr fontId="2"/>
  </si>
  <si>
    <t>1月</t>
    <rPh sb="1" eb="2">
      <t>ガツ</t>
    </rPh>
    <phoneticPr fontId="2"/>
  </si>
  <si>
    <t>2月</t>
  </si>
  <si>
    <t>3月</t>
  </si>
  <si>
    <t>4月</t>
  </si>
  <si>
    <t>5月</t>
  </si>
  <si>
    <t>6月</t>
  </si>
  <si>
    <t>7月</t>
  </si>
  <si>
    <t>8月</t>
  </si>
  <si>
    <t>9月</t>
  </si>
  <si>
    <t>10月</t>
  </si>
  <si>
    <t>11月</t>
  </si>
  <si>
    <t>12月</t>
  </si>
  <si>
    <t>月</t>
    <rPh sb="0" eb="1">
      <t>ツキ</t>
    </rPh>
    <phoneticPr fontId="2"/>
  </si>
  <si>
    <t>項目</t>
    <rPh sb="0" eb="2">
      <t>コウモク</t>
    </rPh>
    <phoneticPr fontId="2"/>
  </si>
  <si>
    <t>データ</t>
    <phoneticPr fontId="2"/>
  </si>
  <si>
    <t>来日日含む</t>
    <rPh sb="0" eb="2">
      <t>ライニチ</t>
    </rPh>
    <rPh sb="2" eb="3">
      <t>ビ</t>
    </rPh>
    <rPh sb="3" eb="4">
      <t>フク</t>
    </rPh>
    <phoneticPr fontId="2"/>
  </si>
  <si>
    <t>月日数</t>
    <rPh sb="0" eb="1">
      <t>ツキ</t>
    </rPh>
    <rPh sb="1" eb="3">
      <t>ニッスウ</t>
    </rPh>
    <phoneticPr fontId="2"/>
  </si>
  <si>
    <t>標準日数</t>
    <rPh sb="0" eb="2">
      <t>ヒョウジュン</t>
    </rPh>
    <rPh sb="2" eb="4">
      <t>ニッスウ</t>
    </rPh>
    <phoneticPr fontId="2"/>
  </si>
  <si>
    <t>【月別標準日数】</t>
    <rPh sb="1" eb="2">
      <t>ツキ</t>
    </rPh>
    <rPh sb="2" eb="3">
      <t>ベツ</t>
    </rPh>
    <rPh sb="3" eb="5">
      <t>ヒョウジュン</t>
    </rPh>
    <rPh sb="5" eb="7">
      <t>ニッスウ</t>
    </rPh>
    <phoneticPr fontId="2"/>
  </si>
  <si>
    <t>年(*1)</t>
    <rPh sb="0" eb="1">
      <t>ネン</t>
    </rPh>
    <phoneticPr fontId="2"/>
  </si>
  <si>
    <t>月(*2)</t>
    <rPh sb="0" eb="1">
      <t>ツキ</t>
    </rPh>
    <phoneticPr fontId="2"/>
  </si>
  <si>
    <t>年月日
（(*1),(*2),(*3）をｼﾘｱﾙ値変換）</t>
    <rPh sb="0" eb="3">
      <t>ネンガッピ</t>
    </rPh>
    <phoneticPr fontId="2"/>
  </si>
  <si>
    <t>日数/月
(*3)</t>
    <rPh sb="0" eb="2">
      <t>ニッスウ</t>
    </rPh>
    <rPh sb="3" eb="4">
      <t>ゲツ</t>
    </rPh>
    <phoneticPr fontId="2"/>
  </si>
  <si>
    <t>年&amp;月
(*1)&amp;(*2)</t>
    <rPh sb="0" eb="1">
      <t>ネン</t>
    </rPh>
    <rPh sb="2" eb="3">
      <t>ツキ</t>
    </rPh>
    <phoneticPr fontId="2"/>
  </si>
  <si>
    <t>研修終了日</t>
    <rPh sb="0" eb="2">
      <t>ケンシュウ</t>
    </rPh>
    <rPh sb="2" eb="5">
      <t>シュウリョウビ</t>
    </rPh>
    <phoneticPr fontId="2"/>
  </si>
  <si>
    <t>年度：</t>
    <rPh sb="0" eb="2">
      <t>ネンド</t>
    </rPh>
    <phoneticPr fontId="2"/>
  </si>
  <si>
    <t>研修旅行中</t>
  </si>
  <si>
    <t>日数</t>
    <rPh sb="0" eb="2">
      <t>ニッスウ</t>
    </rPh>
    <phoneticPr fontId="2"/>
  </si>
  <si>
    <t>空港</t>
    <rPh sb="0" eb="2">
      <t>クウコウ</t>
    </rPh>
    <phoneticPr fontId="2"/>
  </si>
  <si>
    <t>研修センター</t>
    <rPh sb="0" eb="2">
      <t>ケンシュウ</t>
    </rPh>
    <phoneticPr fontId="2"/>
  </si>
  <si>
    <t>TKC</t>
    <phoneticPr fontId="2"/>
  </si>
  <si>
    <t>成田</t>
    <rPh sb="0" eb="2">
      <t>ナリタ</t>
    </rPh>
    <phoneticPr fontId="2"/>
  </si>
  <si>
    <t>関西</t>
    <rPh sb="0" eb="2">
      <t>カンサイ</t>
    </rPh>
    <phoneticPr fontId="2"/>
  </si>
  <si>
    <t>研修ｾﾝﾀｰ～実地研修地間</t>
    <rPh sb="0" eb="2">
      <t>ケンシュウ</t>
    </rPh>
    <rPh sb="7" eb="9">
      <t>ジッチ</t>
    </rPh>
    <rPh sb="9" eb="11">
      <t>ケンシュウ</t>
    </rPh>
    <rPh sb="11" eb="12">
      <t>チ</t>
    </rPh>
    <rPh sb="12" eb="13">
      <t>カン</t>
    </rPh>
    <phoneticPr fontId="2"/>
  </si>
  <si>
    <t>宿泊場所～離日空港間</t>
    <rPh sb="0" eb="2">
      <t>シュクハク</t>
    </rPh>
    <rPh sb="2" eb="4">
      <t>バショ</t>
    </rPh>
    <rPh sb="5" eb="7">
      <t>リニチ</t>
    </rPh>
    <rPh sb="7" eb="9">
      <t>クウコウ</t>
    </rPh>
    <rPh sb="9" eb="10">
      <t>カン</t>
    </rPh>
    <phoneticPr fontId="2"/>
  </si>
  <si>
    <t>KKC</t>
  </si>
  <si>
    <t>補助率</t>
    <rPh sb="0" eb="3">
      <t>ホジョリツ</t>
    </rPh>
    <phoneticPr fontId="2"/>
  </si>
  <si>
    <t>企業負担</t>
    <rPh sb="0" eb="2">
      <t>キギョウ</t>
    </rPh>
    <rPh sb="2" eb="4">
      <t>フタン</t>
    </rPh>
    <phoneticPr fontId="2"/>
  </si>
  <si>
    <t>【国内移動費】</t>
    <phoneticPr fontId="2"/>
  </si>
  <si>
    <t>研修センター</t>
    <phoneticPr fontId="2"/>
  </si>
  <si>
    <t>【実地研修中宿舎】</t>
    <rPh sb="1" eb="3">
      <t>ジッチ</t>
    </rPh>
    <rPh sb="3" eb="6">
      <t>ケンシュウチュウ</t>
    </rPh>
    <rPh sb="6" eb="8">
      <t>シュクシャ</t>
    </rPh>
    <phoneticPr fontId="2"/>
  </si>
  <si>
    <t>(1往復)</t>
  </si>
  <si>
    <t>朝食</t>
    <rPh sb="0" eb="2">
      <t>チョウショク</t>
    </rPh>
    <phoneticPr fontId="2"/>
  </si>
  <si>
    <t>昼食</t>
    <rPh sb="0" eb="2">
      <t>チュウショク</t>
    </rPh>
    <phoneticPr fontId="2"/>
  </si>
  <si>
    <t>夕食</t>
    <rPh sb="0" eb="2">
      <t>ユウショク</t>
    </rPh>
    <phoneticPr fontId="2"/>
  </si>
  <si>
    <t>食費</t>
    <rPh sb="0" eb="2">
      <t>ショクヒ</t>
    </rPh>
    <phoneticPr fontId="2"/>
  </si>
  <si>
    <t>宿泊費</t>
    <rPh sb="0" eb="3">
      <t>シュクハクヒ</t>
    </rPh>
    <phoneticPr fontId="2"/>
  </si>
  <si>
    <t>【研修申込区分】</t>
    <rPh sb="1" eb="3">
      <t>ケンシュウ</t>
    </rPh>
    <rPh sb="3" eb="5">
      <t>モウシコミ</t>
    </rPh>
    <rPh sb="5" eb="7">
      <t>クブン</t>
    </rPh>
    <phoneticPr fontId="2"/>
  </si>
  <si>
    <t>研修申込区分</t>
    <rPh sb="0" eb="2">
      <t>ケンシュウ</t>
    </rPh>
    <rPh sb="2" eb="4">
      <t>モウシコミ</t>
    </rPh>
    <rPh sb="4" eb="6">
      <t>クブン</t>
    </rPh>
    <phoneticPr fontId="2"/>
  </si>
  <si>
    <t>研修旅行中</t>
    <phoneticPr fontId="2"/>
  </si>
  <si>
    <t>来日日からの
日数</t>
    <rPh sb="0" eb="2">
      <t>ライニチ</t>
    </rPh>
    <rPh sb="2" eb="3">
      <t>ヒ</t>
    </rPh>
    <rPh sb="7" eb="9">
      <t>ニッスウ</t>
    </rPh>
    <phoneticPr fontId="2"/>
  </si>
  <si>
    <t>計（①）</t>
    <phoneticPr fontId="2"/>
  </si>
  <si>
    <t>計（②）</t>
    <phoneticPr fontId="2"/>
  </si>
  <si>
    <t>計（③）</t>
    <phoneticPr fontId="2"/>
  </si>
  <si>
    <t>受入企業から外部及び研修生への支払額</t>
    <phoneticPr fontId="2"/>
  </si>
  <si>
    <t>日数/回</t>
    <phoneticPr fontId="2"/>
  </si>
  <si>
    <t>渡航費</t>
    <phoneticPr fontId="2"/>
  </si>
  <si>
    <t>宿舎費</t>
    <phoneticPr fontId="2"/>
  </si>
  <si>
    <t>日</t>
    <phoneticPr fontId="2"/>
  </si>
  <si>
    <t>雑費</t>
    <phoneticPr fontId="2"/>
  </si>
  <si>
    <t>計</t>
    <phoneticPr fontId="2"/>
  </si>
  <si>
    <t>年月</t>
    <phoneticPr fontId="2"/>
  </si>
  <si>
    <t>日数（一般研修）</t>
    <phoneticPr fontId="2"/>
  </si>
  <si>
    <t>日数（実地研修）</t>
    <phoneticPr fontId="2"/>
  </si>
  <si>
    <t>日数計</t>
    <phoneticPr fontId="2"/>
  </si>
  <si>
    <t>費目</t>
    <phoneticPr fontId="2"/>
  </si>
  <si>
    <t>金額</t>
    <phoneticPr fontId="2"/>
  </si>
  <si>
    <t>計（円）</t>
    <phoneticPr fontId="2"/>
  </si>
  <si>
    <t>一般研修中</t>
    <phoneticPr fontId="2"/>
  </si>
  <si>
    <t>研修旅行中</t>
    <phoneticPr fontId="2"/>
  </si>
  <si>
    <t>チェックイン当日
（宿舎費+食費）</t>
    <phoneticPr fontId="2"/>
  </si>
  <si>
    <t>以外</t>
    <phoneticPr fontId="2"/>
  </si>
  <si>
    <t>センター滞在中
（宿舎費+食費）</t>
    <phoneticPr fontId="2"/>
  </si>
  <si>
    <t>食費</t>
    <phoneticPr fontId="2"/>
  </si>
  <si>
    <t>実地研修中</t>
    <phoneticPr fontId="2"/>
  </si>
  <si>
    <t>基準額</t>
    <phoneticPr fontId="2"/>
  </si>
  <si>
    <t>滞在費</t>
    <phoneticPr fontId="2"/>
  </si>
  <si>
    <t>1回</t>
    <phoneticPr fontId="2"/>
  </si>
  <si>
    <t>累計差引支払額(※)</t>
    <phoneticPr fontId="2"/>
  </si>
  <si>
    <t>実地研修中外部宿舎費（補助対象分）</t>
    <phoneticPr fontId="2"/>
  </si>
  <si>
    <t>Ⅰ．</t>
    <phoneticPr fontId="2"/>
  </si>
  <si>
    <t>企業名　：</t>
    <phoneticPr fontId="2"/>
  </si>
  <si>
    <t>Ⅱ．</t>
    <phoneticPr fontId="2"/>
  </si>
  <si>
    <t>研修申込区分　：</t>
    <phoneticPr fontId="2"/>
  </si>
  <si>
    <t>Ⅶ．</t>
    <phoneticPr fontId="2"/>
  </si>
  <si>
    <t>実地研修中の宿泊　：　</t>
    <phoneticPr fontId="2"/>
  </si>
  <si>
    <t>Ⅲ．</t>
    <phoneticPr fontId="2"/>
  </si>
  <si>
    <t>来日日　：</t>
    <phoneticPr fontId="2"/>
  </si>
  <si>
    <t>外部宿舎費（上で｢外部宿舎｣を選択の場合）：</t>
    <phoneticPr fontId="2"/>
  </si>
  <si>
    <t>円／泊</t>
    <phoneticPr fontId="2"/>
  </si>
  <si>
    <t>Ⅳ．</t>
    <phoneticPr fontId="2"/>
  </si>
  <si>
    <t>円／泊</t>
    <phoneticPr fontId="2"/>
  </si>
  <si>
    <t>実地研修期間</t>
    <phoneticPr fontId="2"/>
  </si>
  <si>
    <t>Ⅷ．</t>
    <phoneticPr fontId="2"/>
  </si>
  <si>
    <t>1. 来日空港～研修ｾﾝﾀｰ間：</t>
    <phoneticPr fontId="2"/>
  </si>
  <si>
    <t>円</t>
    <phoneticPr fontId="2"/>
  </si>
  <si>
    <t>雑費</t>
    <phoneticPr fontId="2"/>
  </si>
  <si>
    <t>2. 研修ｾﾝﾀｰ～最初の実地研修地間：</t>
    <phoneticPr fontId="2"/>
  </si>
  <si>
    <t>3. 最後の宿泊場所～離日空港間：</t>
    <phoneticPr fontId="2"/>
  </si>
  <si>
    <t>Ⅵ．</t>
    <phoneticPr fontId="2"/>
  </si>
  <si>
    <t>渡航費　：</t>
    <phoneticPr fontId="2"/>
  </si>
  <si>
    <t>計</t>
    <phoneticPr fontId="2"/>
  </si>
  <si>
    <t>実地研修費</t>
    <phoneticPr fontId="2"/>
  </si>
  <si>
    <t>【計算結果】</t>
    <phoneticPr fontId="2"/>
  </si>
  <si>
    <t>1)　受入費等支出明細　[コース開始前日にチェックイン、コース終了翌日にチェックアウトしたものとして設定]</t>
    <phoneticPr fontId="2"/>
  </si>
  <si>
    <t>費　　目</t>
    <phoneticPr fontId="2"/>
  </si>
  <si>
    <t>単価（\）</t>
    <phoneticPr fontId="2"/>
  </si>
  <si>
    <t>日数/回</t>
    <phoneticPr fontId="2"/>
  </si>
  <si>
    <t>国庫補助額</t>
    <phoneticPr fontId="2"/>
  </si>
  <si>
    <t>受入企業負担額</t>
    <phoneticPr fontId="2"/>
  </si>
  <si>
    <t>補助率：</t>
    <phoneticPr fontId="2"/>
  </si>
  <si>
    <t>負担率：</t>
    <phoneticPr fontId="2"/>
  </si>
  <si>
    <t>受入費</t>
    <phoneticPr fontId="2"/>
  </si>
  <si>
    <t>渡航費</t>
    <phoneticPr fontId="2"/>
  </si>
  <si>
    <t>滞在費</t>
    <phoneticPr fontId="2"/>
  </si>
  <si>
    <t>一般研修中</t>
    <phoneticPr fontId="2"/>
  </si>
  <si>
    <t>チェックイン当日</t>
    <phoneticPr fontId="2"/>
  </si>
  <si>
    <t>宿舎費+食費</t>
    <phoneticPr fontId="2"/>
  </si>
  <si>
    <t>センター滞在中</t>
    <phoneticPr fontId="2"/>
  </si>
  <si>
    <t>研修旅行中</t>
    <phoneticPr fontId="2"/>
  </si>
  <si>
    <t>宿舎費</t>
    <phoneticPr fontId="2"/>
  </si>
  <si>
    <t>実地研修中</t>
    <phoneticPr fontId="2"/>
  </si>
  <si>
    <t>-</t>
    <phoneticPr fontId="2"/>
  </si>
  <si>
    <t>合計</t>
    <phoneticPr fontId="2"/>
  </si>
  <si>
    <t>（受入費等 計：①）</t>
    <phoneticPr fontId="2"/>
  </si>
  <si>
    <t>（国庫補助金）</t>
    <phoneticPr fontId="2"/>
  </si>
  <si>
    <t>費目</t>
    <phoneticPr fontId="2"/>
  </si>
  <si>
    <t>支払額</t>
    <phoneticPr fontId="2"/>
  </si>
  <si>
    <t>センター
　　利用料等</t>
    <phoneticPr fontId="2"/>
  </si>
  <si>
    <t>日数</t>
    <rPh sb="0" eb="2">
      <t>ニッスウ</t>
    </rPh>
    <phoneticPr fontId="2"/>
  </si>
  <si>
    <t>【研修旅行】</t>
    <rPh sb="1" eb="3">
      <t>ケンシュウ</t>
    </rPh>
    <rPh sb="3" eb="5">
      <t>リョコウ</t>
    </rPh>
    <phoneticPr fontId="2"/>
  </si>
  <si>
    <t>開始月</t>
    <rPh sb="0" eb="3">
      <t>カイシヅキ</t>
    </rPh>
    <phoneticPr fontId="2"/>
  </si>
  <si>
    <t>研修旅行予定日</t>
    <rPh sb="0" eb="2">
      <t>ケンシュウ</t>
    </rPh>
    <rPh sb="2" eb="4">
      <t>リョコウ</t>
    </rPh>
    <rPh sb="4" eb="7">
      <t>ヨテイビ</t>
    </rPh>
    <phoneticPr fontId="2"/>
  </si>
  <si>
    <t>【費用の使途(支払先別)】</t>
    <phoneticPr fontId="2"/>
  </si>
  <si>
    <t>支払先</t>
    <phoneticPr fontId="2"/>
  </si>
  <si>
    <t>費　　目</t>
    <phoneticPr fontId="2"/>
  </si>
  <si>
    <t>支出額</t>
    <phoneticPr fontId="2"/>
  </si>
  <si>
    <t>備　　考</t>
    <phoneticPr fontId="2"/>
  </si>
  <si>
    <t>旅費</t>
    <phoneticPr fontId="2"/>
  </si>
  <si>
    <t>旅行代理店等</t>
    <phoneticPr fontId="2"/>
  </si>
  <si>
    <t>渡航費</t>
    <phoneticPr fontId="2"/>
  </si>
  <si>
    <t>研修生へは現物提供</t>
    <phoneticPr fontId="2"/>
  </si>
  <si>
    <t>JR等</t>
    <phoneticPr fontId="2"/>
  </si>
  <si>
    <t>国内移動費</t>
    <phoneticPr fontId="2"/>
  </si>
  <si>
    <t>合　　計</t>
    <phoneticPr fontId="2"/>
  </si>
  <si>
    <t>宿舎費</t>
    <phoneticPr fontId="2"/>
  </si>
  <si>
    <t>外部宿舎</t>
    <phoneticPr fontId="2"/>
  </si>
  <si>
    <r>
      <t>実地研修中 宿舎費</t>
    </r>
    <r>
      <rPr>
        <sz val="8"/>
        <rFont val="ＭＳ Ｐゴシック"/>
        <family val="3"/>
        <charset val="128"/>
      </rPr>
      <t>(外部宿舎利用時)</t>
    </r>
    <phoneticPr fontId="2"/>
  </si>
  <si>
    <t>商業ホテル、旅館等</t>
    <phoneticPr fontId="2"/>
  </si>
  <si>
    <t>生活費</t>
    <phoneticPr fontId="2"/>
  </si>
  <si>
    <t>研修生</t>
    <phoneticPr fontId="2"/>
  </si>
  <si>
    <t>実地研修中 食費</t>
    <phoneticPr fontId="2"/>
  </si>
  <si>
    <t>現金払い</t>
    <phoneticPr fontId="2"/>
  </si>
  <si>
    <t>雑費</t>
    <phoneticPr fontId="2"/>
  </si>
  <si>
    <t>研修費等</t>
    <phoneticPr fontId="2"/>
  </si>
  <si>
    <t>受入企業</t>
    <phoneticPr fontId="2"/>
  </si>
  <si>
    <t>実地研修費</t>
    <phoneticPr fontId="2"/>
  </si>
  <si>
    <t>指導員人件費、作業着、テキスト等</t>
    <phoneticPr fontId="2"/>
  </si>
  <si>
    <r>
      <t>実地研修中 宿舎費</t>
    </r>
    <r>
      <rPr>
        <sz val="8"/>
        <rFont val="ＭＳ Ｐゴシック"/>
        <family val="3"/>
        <charset val="128"/>
      </rPr>
      <t>（会社施設利用時）</t>
    </r>
    <phoneticPr fontId="2"/>
  </si>
  <si>
    <t>社員寮、借上げアパート</t>
    <phoneticPr fontId="2"/>
  </si>
  <si>
    <t>受入費等基準額</t>
    <phoneticPr fontId="22"/>
  </si>
  <si>
    <t>費用の使途</t>
    <phoneticPr fontId="2"/>
  </si>
  <si>
    <t>国庫補助金</t>
    <phoneticPr fontId="2"/>
  </si>
  <si>
    <t>受入企業が研修生や業者へ支払う</t>
    <phoneticPr fontId="22"/>
  </si>
  <si>
    <t xml:space="preserve"> 渡航費</t>
    <phoneticPr fontId="22"/>
  </si>
  <si>
    <t>航空券代</t>
    <phoneticPr fontId="22"/>
  </si>
  <si>
    <t>研修生への食費</t>
    <phoneticPr fontId="22"/>
  </si>
  <si>
    <t>研修生への雑費</t>
    <phoneticPr fontId="22"/>
  </si>
  <si>
    <t xml:space="preserve"> 実地研修費</t>
    <phoneticPr fontId="22"/>
  </si>
  <si>
    <t>実地研修費用</t>
    <phoneticPr fontId="22"/>
  </si>
  <si>
    <t xml:space="preserve"> 国内移動費</t>
    <phoneticPr fontId="2"/>
  </si>
  <si>
    <t>国内移動費</t>
    <phoneticPr fontId="22"/>
  </si>
  <si>
    <t>(A)　-　(B)</t>
    <phoneticPr fontId="22"/>
  </si>
  <si>
    <t>②</t>
    <phoneticPr fontId="2"/>
  </si>
  <si>
    <t>③</t>
    <phoneticPr fontId="2"/>
  </si>
  <si>
    <t>【試算条件】</t>
    <rPh sb="1" eb="3">
      <t>シサン</t>
    </rPh>
    <rPh sb="3" eb="5">
      <t>ジョウケン</t>
    </rPh>
    <phoneticPr fontId="2"/>
  </si>
  <si>
    <t>一般研修コース：</t>
    <rPh sb="0" eb="2">
      <t>イッパン</t>
    </rPh>
    <rPh sb="2" eb="4">
      <t>ケンシュウ</t>
    </rPh>
    <phoneticPr fontId="2"/>
  </si>
  <si>
    <t>：手入力</t>
    <rPh sb="1" eb="2">
      <t>テ</t>
    </rPh>
    <rPh sb="2" eb="4">
      <t>ニュウリョク</t>
    </rPh>
    <phoneticPr fontId="2"/>
  </si>
  <si>
    <t>月別受入費等明細</t>
    <rPh sb="0" eb="2">
      <t>ツキベツ</t>
    </rPh>
    <rPh sb="2" eb="4">
      <t>ウケイレ</t>
    </rPh>
    <rPh sb="4" eb="5">
      <t>ヒ</t>
    </rPh>
    <rPh sb="5" eb="6">
      <t>トウ</t>
    </rPh>
    <rPh sb="6" eb="8">
      <t>メイサイ</t>
    </rPh>
    <phoneticPr fontId="2"/>
  </si>
  <si>
    <t>作成日：</t>
    <rPh sb="0" eb="3">
      <t>サクセイビ</t>
    </rPh>
    <phoneticPr fontId="2"/>
  </si>
  <si>
    <t>対象期間：</t>
    <rPh sb="0" eb="2">
      <t>タイショウ</t>
    </rPh>
    <rPh sb="2" eb="4">
      <t>キカン</t>
    </rPh>
    <phoneticPr fontId="2"/>
  </si>
  <si>
    <t>実地研修</t>
    <rPh sb="0" eb="2">
      <t>ジッチ</t>
    </rPh>
    <rPh sb="2" eb="4">
      <t>ケンシュウ</t>
    </rPh>
    <phoneticPr fontId="2"/>
  </si>
  <si>
    <t>合　　計</t>
    <rPh sb="0" eb="1">
      <t>ア</t>
    </rPh>
    <rPh sb="3" eb="4">
      <t>ケイ</t>
    </rPh>
    <phoneticPr fontId="2"/>
  </si>
  <si>
    <t>(A)企業が立替える</t>
    <rPh sb="6" eb="8">
      <t>タテカ</t>
    </rPh>
    <phoneticPr fontId="2"/>
  </si>
  <si>
    <t>研修期間　：</t>
    <rPh sb="0" eb="2">
      <t>ケンシュウ</t>
    </rPh>
    <rPh sb="2" eb="4">
      <t>キカン</t>
    </rPh>
    <phoneticPr fontId="2"/>
  </si>
  <si>
    <t>補助対象日数　：</t>
    <rPh sb="0" eb="2">
      <t>ホジョ</t>
    </rPh>
    <rPh sb="2" eb="4">
      <t>タイショウ</t>
    </rPh>
    <rPh sb="4" eb="6">
      <t>ニッスウ</t>
    </rPh>
    <phoneticPr fontId="2"/>
  </si>
  <si>
    <t>日</t>
    <phoneticPr fontId="2"/>
  </si>
  <si>
    <t>日数
(来日日含まず)</t>
    <rPh sb="0" eb="2">
      <t>ニッスウ</t>
    </rPh>
    <rPh sb="4" eb="6">
      <t>ライニチ</t>
    </rPh>
    <rPh sb="6" eb="7">
      <t>ビ</t>
    </rPh>
    <rPh sb="7" eb="8">
      <t>フク</t>
    </rPh>
    <phoneticPr fontId="2"/>
  </si>
  <si>
    <t>日 （来日日を含む）</t>
    <rPh sb="3" eb="5">
      <t>ライニチ</t>
    </rPh>
    <rPh sb="5" eb="6">
      <t>ビ</t>
    </rPh>
    <rPh sb="7" eb="8">
      <t>フク</t>
    </rPh>
    <phoneticPr fontId="2"/>
  </si>
  <si>
    <t>企業が立替える受入費（A)</t>
    <phoneticPr fontId="2"/>
  </si>
  <si>
    <t>企業が立て替える
受入費</t>
    <rPh sb="3" eb="4">
      <t>タ</t>
    </rPh>
    <rPh sb="5" eb="6">
      <t>カ</t>
    </rPh>
    <phoneticPr fontId="2"/>
  </si>
  <si>
    <t>AOTSが直接執行した
受入費</t>
    <phoneticPr fontId="2"/>
  </si>
  <si>
    <t xml:space="preserve"> ※ 累計差引支払額がプラスになった時点（灰色の月）以降、AOTSから受入企業へ当月差引支払額が支払われます。</t>
    <phoneticPr fontId="2"/>
  </si>
  <si>
    <t>AOTS制度利用の費用試算（企業受入・一人あたり）</t>
    <rPh sb="6" eb="8">
      <t>リヨウ</t>
    </rPh>
    <rPh sb="19" eb="21">
      <t>ヒトリ</t>
    </rPh>
    <phoneticPr fontId="2"/>
  </si>
  <si>
    <t>AOTS研修ｺｰｽ</t>
    <phoneticPr fontId="2"/>
  </si>
  <si>
    <t>【受入費の流れ（AOTSと企業の精算）】</t>
    <phoneticPr fontId="2"/>
  </si>
  <si>
    <t>AOTSが直接執行した受入費</t>
    <phoneticPr fontId="2"/>
  </si>
  <si>
    <t xml:space="preserve">(B)AOTSに払う </t>
    <phoneticPr fontId="22"/>
  </si>
  <si>
    <t>企業とAOTSの精算</t>
    <phoneticPr fontId="22"/>
  </si>
  <si>
    <t>AOTSから企業へお支払いいたします</t>
    <phoneticPr fontId="2"/>
  </si>
  <si>
    <t>企業からAOTSへお支払いいただきます</t>
    <phoneticPr fontId="2"/>
  </si>
  <si>
    <t>研修実施分担金</t>
  </si>
  <si>
    <t>★★研修実施分担金</t>
  </si>
  <si>
    <t>★受入分担金</t>
  </si>
  <si>
    <t>（受入分担金）</t>
  </si>
  <si>
    <t>受入分担金</t>
  </si>
  <si>
    <t/>
  </si>
  <si>
    <t>国内移動費　：　</t>
    <phoneticPr fontId="2"/>
  </si>
  <si>
    <t>国内移動費</t>
    <phoneticPr fontId="2"/>
  </si>
  <si>
    <t>当月差引支払額（②-③）</t>
    <phoneticPr fontId="2"/>
  </si>
  <si>
    <r>
      <t>渡航費</t>
    </r>
    <r>
      <rPr>
        <sz val="10"/>
        <color rgb="FFFF0000"/>
        <rFont val="ＭＳ Ｐゴシック"/>
        <family val="3"/>
        <charset val="128"/>
      </rPr>
      <t>（低炭素のみ補助対象）</t>
    </r>
    <rPh sb="0" eb="3">
      <t>トコウヒ</t>
    </rPh>
    <rPh sb="4" eb="7">
      <t>テイタンソ</t>
    </rPh>
    <rPh sb="9" eb="11">
      <t>ホジョ</t>
    </rPh>
    <rPh sb="11" eb="13">
      <t>タイショウ</t>
    </rPh>
    <phoneticPr fontId="2"/>
  </si>
  <si>
    <t>国内移動費</t>
    <phoneticPr fontId="2"/>
  </si>
  <si>
    <t>基準額超過分は全額受入企業負担</t>
    <rPh sb="7" eb="9">
      <t>ゼンガク</t>
    </rPh>
    <phoneticPr fontId="2"/>
  </si>
  <si>
    <t>海外旅行保険</t>
    <rPh sb="0" eb="6">
      <t>カイガイリョコウホケン</t>
    </rPh>
    <phoneticPr fontId="2"/>
  </si>
  <si>
    <t>【海外旅行保険】</t>
    <rPh sb="1" eb="7">
      <t>カイガイリョコウホケン</t>
    </rPh>
    <phoneticPr fontId="2"/>
  </si>
  <si>
    <t>保険日数</t>
    <rPh sb="0" eb="2">
      <t>ホケン</t>
    </rPh>
    <rPh sb="2" eb="4">
      <t>ニッスウ</t>
    </rPh>
    <phoneticPr fontId="5"/>
  </si>
  <si>
    <t>2ヶ月まで</t>
    <rPh sb="2" eb="3">
      <t>ゲツ</t>
    </rPh>
    <phoneticPr fontId="5"/>
  </si>
  <si>
    <t>3ヶ月まで</t>
    <rPh sb="2" eb="3">
      <t>ゲツ</t>
    </rPh>
    <phoneticPr fontId="5"/>
  </si>
  <si>
    <t>4ヶ月まで</t>
    <rPh sb="2" eb="3">
      <t>ゲツ</t>
    </rPh>
    <phoneticPr fontId="5"/>
  </si>
  <si>
    <t>5ヶ月まで</t>
    <rPh sb="2" eb="3">
      <t>ゲツ</t>
    </rPh>
    <phoneticPr fontId="5"/>
  </si>
  <si>
    <t>6ヶ月まで</t>
    <rPh sb="2" eb="3">
      <t>ゲツ</t>
    </rPh>
    <phoneticPr fontId="5"/>
  </si>
  <si>
    <t>7ヶ月まで</t>
    <rPh sb="2" eb="3">
      <t>ゲツ</t>
    </rPh>
    <phoneticPr fontId="5"/>
  </si>
  <si>
    <t>8ヶ月まで</t>
    <rPh sb="2" eb="3">
      <t>ゲツ</t>
    </rPh>
    <phoneticPr fontId="5"/>
  </si>
  <si>
    <t>9ヶ月まで</t>
    <rPh sb="2" eb="3">
      <t>ゲツ</t>
    </rPh>
    <phoneticPr fontId="5"/>
  </si>
  <si>
    <t>10ヶ月まで</t>
    <rPh sb="3" eb="4">
      <t>ゲツ</t>
    </rPh>
    <phoneticPr fontId="5"/>
  </si>
  <si>
    <t>11ヶ月まで</t>
    <rPh sb="3" eb="4">
      <t>ゲツ</t>
    </rPh>
    <phoneticPr fontId="5"/>
  </si>
  <si>
    <t>12ヶ月まで</t>
    <rPh sb="3" eb="4">
      <t>ゲツ</t>
    </rPh>
    <phoneticPr fontId="5"/>
  </si>
  <si>
    <t>保険料合計</t>
    <rPh sb="0" eb="2">
      <t>ホケン</t>
    </rPh>
    <rPh sb="2" eb="3">
      <t>リョウ</t>
    </rPh>
    <rPh sb="3" eb="5">
      <t>ゴウケイ</t>
    </rPh>
    <phoneticPr fontId="5"/>
  </si>
  <si>
    <t>該当項目</t>
    <rPh sb="0" eb="2">
      <t>ガイトウ</t>
    </rPh>
    <rPh sb="2" eb="4">
      <t>コウモク</t>
    </rPh>
    <phoneticPr fontId="5"/>
  </si>
  <si>
    <t>研修期間</t>
    <rPh sb="0" eb="2">
      <t>ケンシュウ</t>
    </rPh>
    <rPh sb="2" eb="4">
      <t>キカン</t>
    </rPh>
    <phoneticPr fontId="2"/>
  </si>
  <si>
    <t>月数</t>
    <rPh sb="0" eb="1">
      <t>ツキ</t>
    </rPh>
    <rPh sb="1" eb="2">
      <t>スウ</t>
    </rPh>
    <phoneticPr fontId="2"/>
  </si>
  <si>
    <t>日数</t>
    <rPh sb="0" eb="1">
      <t>ニチ</t>
    </rPh>
    <rPh sb="1" eb="2">
      <t>スウ</t>
    </rPh>
    <phoneticPr fontId="2"/>
  </si>
  <si>
    <t>海外旅行保険</t>
    <phoneticPr fontId="2"/>
  </si>
  <si>
    <t>-</t>
    <phoneticPr fontId="2"/>
  </si>
  <si>
    <t>3)　AOTSにて直接執行した受入費（研修センター利用料）・海外旅行保険</t>
    <rPh sb="30" eb="36">
      <t>カイガイリョコウホケン</t>
    </rPh>
    <phoneticPr fontId="3"/>
  </si>
  <si>
    <t>海外旅行保険</t>
    <rPh sb="0" eb="6">
      <t>カイガイリョコウホケン</t>
    </rPh>
    <phoneticPr fontId="2"/>
  </si>
  <si>
    <t xml:space="preserve"> ※ 渡航費、歯科診療費、国民健康保険料等に加え、外部宿舎費の上限額を超える部分は、この表に含まれておりません。</t>
    <rPh sb="7" eb="12">
      <t>シカシンリョウヒ</t>
    </rPh>
    <rPh sb="13" eb="20">
      <t>コクミンケンコウホケンリョウ</t>
    </rPh>
    <rPh sb="20" eb="21">
      <t>トウ</t>
    </rPh>
    <rPh sb="22" eb="23">
      <t>クワ</t>
    </rPh>
    <phoneticPr fontId="2"/>
  </si>
  <si>
    <t>国内移動費</t>
    <phoneticPr fontId="2"/>
  </si>
  <si>
    <t xml:space="preserve"> 宿舎費</t>
    <phoneticPr fontId="2"/>
  </si>
  <si>
    <t xml:space="preserve"> 食費</t>
    <phoneticPr fontId="22"/>
  </si>
  <si>
    <t xml:space="preserve"> 雑費</t>
    <phoneticPr fontId="22"/>
  </si>
  <si>
    <t xml:space="preserve"> センター利用料</t>
    <phoneticPr fontId="2"/>
  </si>
  <si>
    <t xml:space="preserve"> 海外旅行保険</t>
    <rPh sb="1" eb="7">
      <t>カイガイリョコウホケン</t>
    </rPh>
    <phoneticPr fontId="22"/>
  </si>
  <si>
    <t>※受入費には歯科診療費、国民健康保険料等も含まれます（上記試算表には未織込み、受入企業負担あり）。</t>
    <rPh sb="1" eb="4">
      <t>ウケイレヒ</t>
    </rPh>
    <rPh sb="6" eb="11">
      <t>シカシンリョウヒ</t>
    </rPh>
    <rPh sb="12" eb="16">
      <t>コクミンケンコウ</t>
    </rPh>
    <rPh sb="16" eb="18">
      <t>ホケン</t>
    </rPh>
    <rPh sb="18" eb="19">
      <t>リョウ</t>
    </rPh>
    <rPh sb="19" eb="20">
      <t>トウ</t>
    </rPh>
    <rPh sb="21" eb="22">
      <t>フク</t>
    </rPh>
    <rPh sb="27" eb="29">
      <t>ジョウキ</t>
    </rPh>
    <rPh sb="29" eb="32">
      <t>シサンヒョウ</t>
    </rPh>
    <rPh sb="34" eb="36">
      <t>ミオ</t>
    </rPh>
    <rPh sb="36" eb="37">
      <t>コ</t>
    </rPh>
    <rPh sb="39" eb="43">
      <t>ウケイレキギョウ</t>
    </rPh>
    <rPh sb="43" eb="45">
      <t>フタン</t>
    </rPh>
    <phoneticPr fontId="2"/>
  </si>
  <si>
    <t>補助金と分担金</t>
    <rPh sb="4" eb="7">
      <t>ブンタンキン</t>
    </rPh>
    <phoneticPr fontId="2"/>
  </si>
  <si>
    <t>2)　分担金　[受入企業負担の総額]</t>
    <rPh sb="3" eb="5">
      <t>ブンタン</t>
    </rPh>
    <phoneticPr fontId="2"/>
  </si>
  <si>
    <t>分担金</t>
    <rPh sb="0" eb="2">
      <t>ブンタン</t>
    </rPh>
    <phoneticPr fontId="2"/>
  </si>
  <si>
    <t>研修実施</t>
    <phoneticPr fontId="2"/>
  </si>
  <si>
    <t>分担金</t>
    <phoneticPr fontId="2"/>
  </si>
  <si>
    <t>日程表の項番に対応</t>
    <phoneticPr fontId="2"/>
  </si>
  <si>
    <t>（低炭素技術を輸出するための人材育成支援事業のみ補助対象）</t>
    <rPh sb="24" eb="26">
      <t>ホジョ</t>
    </rPh>
    <rPh sb="26" eb="28">
      <t>タイショウ</t>
    </rPh>
    <phoneticPr fontId="2"/>
  </si>
  <si>
    <t>※ただし、アフリカからの参加の場合、渡航費が補助対象となります。詳しくはお問合せください。</t>
    <rPh sb="12" eb="14">
      <t>サンカ</t>
    </rPh>
    <rPh sb="15" eb="17">
      <t>バアイ</t>
    </rPh>
    <rPh sb="18" eb="21">
      <t>トコウヒ</t>
    </rPh>
    <rPh sb="22" eb="24">
      <t>ホジョ</t>
    </rPh>
    <rPh sb="24" eb="26">
      <t>タイショウ</t>
    </rPh>
    <rPh sb="32" eb="33">
      <t>クワ</t>
    </rPh>
    <rPh sb="37" eb="39">
      <t>トイアワ</t>
    </rPh>
    <phoneticPr fontId="2"/>
  </si>
  <si>
    <t>4)　企業が執行した受入費（企業立替）</t>
    <rPh sb="3" eb="5">
      <t>キギョウ</t>
    </rPh>
    <rPh sb="6" eb="8">
      <t>シッコウ</t>
    </rPh>
    <rPh sb="10" eb="13">
      <t>ウケイレヒ</t>
    </rPh>
    <rPh sb="14" eb="16">
      <t>キギョウ</t>
    </rPh>
    <rPh sb="16" eb="18">
      <t>タテカエ</t>
    </rPh>
    <phoneticPr fontId="2"/>
  </si>
  <si>
    <t>AOTSが直接執行した研修費、附帯費</t>
    <rPh sb="11" eb="14">
      <t>ケンシュウヒ</t>
    </rPh>
    <rPh sb="15" eb="18">
      <t>フタイヒ</t>
    </rPh>
    <phoneticPr fontId="2"/>
  </si>
  <si>
    <t>企業が負担する額</t>
    <rPh sb="0" eb="2">
      <t>キギョウ</t>
    </rPh>
    <rPh sb="3" eb="5">
      <t>フタン</t>
    </rPh>
    <rPh sb="7" eb="8">
      <t>ガク</t>
    </rPh>
    <phoneticPr fontId="2"/>
  </si>
  <si>
    <t>受入分担金＝②</t>
    <rPh sb="0" eb="2">
      <t>ウケイレ</t>
    </rPh>
    <rPh sb="2" eb="5">
      <t>ブンタンキン</t>
    </rPh>
    <phoneticPr fontId="2"/>
  </si>
  <si>
    <t>A</t>
    <phoneticPr fontId="2"/>
  </si>
  <si>
    <t>B</t>
    <phoneticPr fontId="2"/>
  </si>
  <si>
    <t>補助金と企業負担（分担金）</t>
    <rPh sb="0" eb="3">
      <t>ホジョキン</t>
    </rPh>
    <rPh sb="4" eb="8">
      <t>キギョウフタン</t>
    </rPh>
    <rPh sb="9" eb="12">
      <t>ブンタンキン</t>
    </rPh>
    <phoneticPr fontId="2"/>
  </si>
  <si>
    <t>補助対象経費　　</t>
    <rPh sb="0" eb="6">
      <t>ホジョタイショウケイヒ</t>
    </rPh>
    <phoneticPr fontId="2"/>
  </si>
  <si>
    <t>内訳　→　</t>
    <rPh sb="0" eb="2">
      <t>ウチワケ</t>
    </rPh>
    <phoneticPr fontId="2"/>
  </si>
  <si>
    <t>【補助金と分担金】</t>
    <rPh sb="1" eb="4">
      <t>ホジョキン</t>
    </rPh>
    <rPh sb="5" eb="8">
      <t>ブンタンキン</t>
    </rPh>
    <phoneticPr fontId="2"/>
  </si>
  <si>
    <t>【AOTSと企業の精算】</t>
  </si>
  <si>
    <t>↓　　　</t>
    <phoneticPr fontId="2"/>
  </si>
  <si>
    <t>研修実施分担金＝③</t>
    <rPh sb="0" eb="2">
      <t>ケンシュウ</t>
    </rPh>
    <rPh sb="2" eb="4">
      <t>ジッシ</t>
    </rPh>
    <rPh sb="4" eb="7">
      <t>ブンタンキン</t>
    </rPh>
    <phoneticPr fontId="2"/>
  </si>
  <si>
    <t>④</t>
    <phoneticPr fontId="2"/>
  </si>
  <si>
    <t>企業が立替えた受入費（A)</t>
    <phoneticPr fontId="2"/>
  </si>
  <si>
    <t>プラスの場合：AOTSから企業へお支払いします。</t>
    <rPh sb="4" eb="6">
      <t>バアイ</t>
    </rPh>
    <rPh sb="13" eb="15">
      <t>キギョウ</t>
    </rPh>
    <rPh sb="17" eb="19">
      <t>シハラ</t>
    </rPh>
    <phoneticPr fontId="2"/>
  </si>
  <si>
    <t>マイナスの場合：企業からAOTSへお支払い頂きます。</t>
    <rPh sb="5" eb="7">
      <t>バアイ</t>
    </rPh>
    <rPh sb="8" eb="10">
      <t>キギョウ</t>
    </rPh>
    <rPh sb="18" eb="20">
      <t>シハラ</t>
    </rPh>
    <rPh sb="21" eb="22">
      <t>イタダ</t>
    </rPh>
    <phoneticPr fontId="2"/>
  </si>
  <si>
    <t>費　目</t>
    <rPh sb="0" eb="1">
      <t>ヒ</t>
    </rPh>
    <rPh sb="2" eb="3">
      <t>メ</t>
    </rPh>
    <phoneticPr fontId="2"/>
  </si>
  <si>
    <t>4)　企業が執行した受入費
　　（企業が立替えた受入費）</t>
    <rPh sb="3" eb="5">
      <t>キギョウ</t>
    </rPh>
    <rPh sb="6" eb="8">
      <t>シッコウ</t>
    </rPh>
    <rPh sb="10" eb="13">
      <t>ウケイレヒ</t>
    </rPh>
    <rPh sb="17" eb="19">
      <t>キギョウ</t>
    </rPh>
    <rPh sb="20" eb="22">
      <t>タテカ</t>
    </rPh>
    <rPh sb="24" eb="27">
      <t>ウケイレヒ</t>
    </rPh>
    <phoneticPr fontId="2"/>
  </si>
  <si>
    <t>宿舎費</t>
    <rPh sb="0" eb="3">
      <t>シュクシャヒ</t>
    </rPh>
    <phoneticPr fontId="2"/>
  </si>
  <si>
    <t>食費</t>
    <rPh sb="0" eb="2">
      <t>ショクヒ</t>
    </rPh>
    <phoneticPr fontId="2"/>
  </si>
  <si>
    <t>雑費</t>
    <rPh sb="0" eb="2">
      <t>ザッピ</t>
    </rPh>
    <phoneticPr fontId="2"/>
  </si>
  <si>
    <t>実地研修費</t>
    <rPh sb="0" eb="5">
      <t>ジッチケンシュウヒ</t>
    </rPh>
    <phoneticPr fontId="2"/>
  </si>
  <si>
    <t>国内移動費</t>
    <rPh sb="0" eb="2">
      <t>コクナイ</t>
    </rPh>
    <rPh sb="2" eb="5">
      <t>イドウヒ</t>
    </rPh>
    <phoneticPr fontId="2"/>
  </si>
  <si>
    <t>合計</t>
    <rPh sb="0" eb="2">
      <t>ゴウケイ</t>
    </rPh>
    <phoneticPr fontId="2"/>
  </si>
  <si>
    <t>B</t>
    <phoneticPr fontId="2"/>
  </si>
  <si>
    <t>AOTSが直接執行した受入費④</t>
    <phoneticPr fontId="2"/>
  </si>
  <si>
    <r>
      <t xml:space="preserve">B：企業が負担する額 
</t>
    </r>
    <r>
      <rPr>
        <sz val="11"/>
        <color theme="1"/>
        <rFont val="ＭＳ Ｐゴシック"/>
        <family val="3"/>
        <charset val="128"/>
      </rPr>
      <t>　　＝企業からAOTSへ支払う額
　　＝②受入分担金+③研修実施分担金</t>
    </r>
    <rPh sb="2" eb="4">
      <t>キギョウ</t>
    </rPh>
    <rPh sb="5" eb="7">
      <t>フタン</t>
    </rPh>
    <rPh sb="9" eb="10">
      <t>ガク</t>
    </rPh>
    <rPh sb="15" eb="17">
      <t>キギョウ</t>
    </rPh>
    <rPh sb="24" eb="26">
      <t>シハラ</t>
    </rPh>
    <rPh sb="27" eb="28">
      <t>ガク</t>
    </rPh>
    <rPh sb="33" eb="35">
      <t>ウケイレ</t>
    </rPh>
    <rPh sb="35" eb="38">
      <t>ブンタンキン</t>
    </rPh>
    <rPh sb="40" eb="42">
      <t>ケンシュウ</t>
    </rPh>
    <rPh sb="42" eb="44">
      <t>ジッシ</t>
    </rPh>
    <rPh sb="44" eb="47">
      <t>ブンタンキン</t>
    </rPh>
    <phoneticPr fontId="2"/>
  </si>
  <si>
    <t>その他の考え方：</t>
    <rPh sb="2" eb="3">
      <t>ホカ</t>
    </rPh>
    <rPh sb="4" eb="5">
      <t>カンガ</t>
    </rPh>
    <rPh sb="6" eb="7">
      <t>カタ</t>
    </rPh>
    <phoneticPr fontId="2"/>
  </si>
  <si>
    <t>【補足】</t>
    <rPh sb="1" eb="3">
      <t>ホソク</t>
    </rPh>
    <phoneticPr fontId="2"/>
  </si>
  <si>
    <t>・</t>
    <phoneticPr fontId="2"/>
  </si>
  <si>
    <t>　&lt;企業が受取る補助金&gt;-&lt;AOTSが執行した受入費に対し企業が負担する額&gt;-&lt;研修実施分担金&gt;＝精算額</t>
    <rPh sb="19" eb="21">
      <t>シッコウ</t>
    </rPh>
    <rPh sb="23" eb="26">
      <t>ウケイレヒ</t>
    </rPh>
    <rPh sb="27" eb="28">
      <t>タイ</t>
    </rPh>
    <rPh sb="29" eb="31">
      <t>キギョウ</t>
    </rPh>
    <rPh sb="32" eb="34">
      <t>フタン</t>
    </rPh>
    <rPh sb="36" eb="37">
      <t>ガク</t>
    </rPh>
    <rPh sb="40" eb="42">
      <t>ケンシュウ</t>
    </rPh>
    <rPh sb="42" eb="44">
      <t>ジッシ</t>
    </rPh>
    <rPh sb="44" eb="47">
      <t>ブンタンキン</t>
    </rPh>
    <rPh sb="49" eb="51">
      <t>セイサン</t>
    </rPh>
    <rPh sb="51" eb="52">
      <t>ガク</t>
    </rPh>
    <phoneticPr fontId="2"/>
  </si>
  <si>
    <t>企業へ支払われる補助金</t>
    <rPh sb="0" eb="2">
      <t>キギョウ</t>
    </rPh>
    <rPh sb="3" eb="5">
      <t>シハラ</t>
    </rPh>
    <rPh sb="8" eb="11">
      <t>ホジョキン</t>
    </rPh>
    <phoneticPr fontId="2"/>
  </si>
  <si>
    <t>企業へ支払われる補助金</t>
    <phoneticPr fontId="2"/>
  </si>
  <si>
    <t>受入費の精算は月締めで翌月末に精算します。</t>
    <rPh sb="0" eb="3">
      <t>ウケイレヒ</t>
    </rPh>
    <rPh sb="4" eb="6">
      <t>セイサン</t>
    </rPh>
    <rPh sb="7" eb="9">
      <t>ツキジ</t>
    </rPh>
    <rPh sb="11" eb="13">
      <t>ヨクツキ</t>
    </rPh>
    <rPh sb="13" eb="14">
      <t>マツ</t>
    </rPh>
    <rPh sb="15" eb="17">
      <t>セイサン</t>
    </rPh>
    <phoneticPr fontId="2"/>
  </si>
  <si>
    <t>最終精算月に合計精算額がマイナスの場合、受入企業にお支払い頂きます。</t>
    <phoneticPr fontId="2"/>
  </si>
  <si>
    <t>来日後、数か月は精算額がマイナスになるのは、
一般研修期間中はAOTSが直接執行した金額が大きいため（=受入企業へ支払われる補助金が少なく、AOTSへ支払われる補助金がおおきいため）、また、研修実施分担金を１か月目にお支払い頂くためです。</t>
    <rPh sb="23" eb="25">
      <t>イッパン</t>
    </rPh>
    <rPh sb="25" eb="27">
      <t>ケンシュウ</t>
    </rPh>
    <rPh sb="27" eb="29">
      <t>キカン</t>
    </rPh>
    <rPh sb="29" eb="30">
      <t>チュウ</t>
    </rPh>
    <rPh sb="36" eb="38">
      <t>チョクセツ</t>
    </rPh>
    <rPh sb="38" eb="40">
      <t>シッコウ</t>
    </rPh>
    <rPh sb="42" eb="44">
      <t>キンガク</t>
    </rPh>
    <rPh sb="45" eb="46">
      <t>オオ</t>
    </rPh>
    <rPh sb="52" eb="54">
      <t>ウケイレ</t>
    </rPh>
    <rPh sb="54" eb="56">
      <t>キギョウ</t>
    </rPh>
    <rPh sb="57" eb="59">
      <t>シハラ</t>
    </rPh>
    <rPh sb="62" eb="65">
      <t>ホジョキン</t>
    </rPh>
    <rPh sb="66" eb="67">
      <t>スク</t>
    </rPh>
    <rPh sb="75" eb="77">
      <t>シハラ</t>
    </rPh>
    <rPh sb="80" eb="83">
      <t>ホジョキン</t>
    </rPh>
    <rPh sb="95" eb="102">
      <t>ケンシュウジッシブンタンキン</t>
    </rPh>
    <rPh sb="105" eb="107">
      <t>ゲツメ</t>
    </rPh>
    <rPh sb="109" eb="111">
      <t>シハラ</t>
    </rPh>
    <rPh sb="112" eb="113">
      <t>イタダ</t>
    </rPh>
    <phoneticPr fontId="2"/>
  </si>
  <si>
    <t>補助率2/3の企業の場合、実地研修が始まり、企業立替額が増えていくと（＝企業が直接受け取る補助金額が増える）、精算額がプラスに転じていきます。</t>
    <rPh sb="0" eb="3">
      <t>ホジョリツ</t>
    </rPh>
    <rPh sb="7" eb="9">
      <t>キギョウ</t>
    </rPh>
    <rPh sb="10" eb="12">
      <t>バアイ</t>
    </rPh>
    <rPh sb="13" eb="17">
      <t>ジッチケンシュウ</t>
    </rPh>
    <rPh sb="18" eb="19">
      <t>ハジ</t>
    </rPh>
    <rPh sb="22" eb="27">
      <t>キギョウタテカエガク</t>
    </rPh>
    <rPh sb="28" eb="29">
      <t>フ</t>
    </rPh>
    <rPh sb="36" eb="38">
      <t>キギョウ</t>
    </rPh>
    <rPh sb="39" eb="41">
      <t>チョクセツ</t>
    </rPh>
    <rPh sb="41" eb="42">
      <t>ウ</t>
    </rPh>
    <rPh sb="43" eb="44">
      <t>ト</t>
    </rPh>
    <rPh sb="45" eb="49">
      <t>ホジョキンガク</t>
    </rPh>
    <rPh sb="50" eb="51">
      <t>フ</t>
    </rPh>
    <rPh sb="55" eb="58">
      <t>セイサンガク</t>
    </rPh>
    <rPh sb="63" eb="64">
      <t>テン</t>
    </rPh>
    <phoneticPr fontId="2"/>
  </si>
  <si>
    <t>実地研修期間が短い場合や、補助率が低い企業の場合、最終精算月までマイナスの場合もあります。</t>
    <rPh sb="0" eb="4">
      <t>ジッチケンシュウ</t>
    </rPh>
    <rPh sb="4" eb="6">
      <t>キカン</t>
    </rPh>
    <rPh sb="7" eb="8">
      <t>ミジカ</t>
    </rPh>
    <rPh sb="9" eb="11">
      <t>バアイ</t>
    </rPh>
    <rPh sb="13" eb="16">
      <t>ホジョリツ</t>
    </rPh>
    <rPh sb="17" eb="18">
      <t>ヒク</t>
    </rPh>
    <rPh sb="19" eb="21">
      <t>キギョウ</t>
    </rPh>
    <rPh sb="22" eb="24">
      <t>バアイ</t>
    </rPh>
    <rPh sb="25" eb="27">
      <t>サイシュウ</t>
    </rPh>
    <rPh sb="27" eb="29">
      <t>セイサン</t>
    </rPh>
    <rPh sb="29" eb="30">
      <t>ツキ</t>
    </rPh>
    <rPh sb="37" eb="39">
      <t>バアイ</t>
    </rPh>
    <phoneticPr fontId="2"/>
  </si>
  <si>
    <t>研修実施分担金は来日月に請求いたします。</t>
    <rPh sb="0" eb="2">
      <t>ケンシュウ</t>
    </rPh>
    <rPh sb="2" eb="4">
      <t>ジッシ</t>
    </rPh>
    <rPh sb="4" eb="7">
      <t>ブンタンキン</t>
    </rPh>
    <rPh sb="8" eb="11">
      <t>ライニチヅキ</t>
    </rPh>
    <rPh sb="12" eb="14">
      <t>セイキュウ</t>
    </rPh>
    <phoneticPr fontId="2"/>
  </si>
  <si>
    <r>
      <t xml:space="preserve">A：企業が立替えた額
</t>
    </r>
    <r>
      <rPr>
        <sz val="11"/>
        <color theme="1"/>
        <rFont val="ＭＳ Ｐゴシック"/>
        <family val="3"/>
        <charset val="128"/>
      </rPr>
      <t>　　＝AOTSから企業へ支払う額</t>
    </r>
    <rPh sb="2" eb="4">
      <t>キギョウ</t>
    </rPh>
    <rPh sb="5" eb="7">
      <t>タテカ</t>
    </rPh>
    <rPh sb="9" eb="10">
      <t>ガク</t>
    </rPh>
    <rPh sb="20" eb="22">
      <t>キギョウ</t>
    </rPh>
    <rPh sb="23" eb="25">
      <t>シハラ</t>
    </rPh>
    <rPh sb="26" eb="27">
      <t>ガク</t>
    </rPh>
    <phoneticPr fontId="2"/>
  </si>
  <si>
    <r>
      <t>企業とAOTSの精算</t>
    </r>
    <r>
      <rPr>
        <b/>
        <vertAlign val="superscript"/>
        <sz val="11"/>
        <rFont val="ＭＳ Ｐゴシック"/>
        <family val="3"/>
        <charset val="128"/>
      </rPr>
      <t>※</t>
    </r>
    <r>
      <rPr>
        <b/>
        <sz val="11"/>
        <rFont val="ＭＳ Ｐゴシック"/>
        <family val="3"/>
        <charset val="128"/>
      </rPr>
      <t>　A-B</t>
    </r>
    <rPh sb="0" eb="2">
      <t>キギョウ</t>
    </rPh>
    <rPh sb="8" eb="10">
      <t>セイサン</t>
    </rPh>
    <phoneticPr fontId="2"/>
  </si>
  <si>
    <t>研修生到着後にご提出頂く「研修生到着・受入通知並びに受入費申請書」に
「申請金額から受入分担金・研修実施分担金を差し引くことを　&lt;希望します＞/&lt;希望しない&gt;」を選択する欄があります。
「希望する」を選択すると、AOTSから受入企業への支払いと、企業からAOTSへの支払い（＝分担金の支払い）を相殺します。
精算時、マイナス額の場合は、繰越しますので、都度、お支払い頂く必要はありません。</t>
    <rPh sb="0" eb="3">
      <t>ケンシュウセイ</t>
    </rPh>
    <rPh sb="3" eb="6">
      <t>トウチャクゴ</t>
    </rPh>
    <rPh sb="8" eb="10">
      <t>テイシュツ</t>
    </rPh>
    <rPh sb="10" eb="11">
      <t>イタダ</t>
    </rPh>
    <rPh sb="13" eb="16">
      <t>ケンシュウセイ</t>
    </rPh>
    <rPh sb="16" eb="18">
      <t>トウチャク</t>
    </rPh>
    <rPh sb="19" eb="21">
      <t>ウケイレ</t>
    </rPh>
    <rPh sb="21" eb="23">
      <t>ツウチ</t>
    </rPh>
    <rPh sb="23" eb="24">
      <t>ナラ</t>
    </rPh>
    <rPh sb="26" eb="29">
      <t>ウケイレヒ</t>
    </rPh>
    <rPh sb="29" eb="32">
      <t>シンセイショ</t>
    </rPh>
    <rPh sb="36" eb="38">
      <t>シンセイ</t>
    </rPh>
    <rPh sb="38" eb="40">
      <t>キンガク</t>
    </rPh>
    <rPh sb="42" eb="44">
      <t>ウケイレ</t>
    </rPh>
    <rPh sb="44" eb="47">
      <t>ブンタンキン</t>
    </rPh>
    <rPh sb="48" eb="50">
      <t>ケンシュウ</t>
    </rPh>
    <rPh sb="50" eb="55">
      <t>ジッシブンタンキン</t>
    </rPh>
    <rPh sb="56" eb="57">
      <t>サ</t>
    </rPh>
    <rPh sb="58" eb="59">
      <t>ヒ</t>
    </rPh>
    <rPh sb="65" eb="67">
      <t>キボウ</t>
    </rPh>
    <rPh sb="73" eb="75">
      <t>キボウ</t>
    </rPh>
    <rPh sb="81" eb="83">
      <t>センタク</t>
    </rPh>
    <rPh sb="85" eb="86">
      <t>ラン</t>
    </rPh>
    <rPh sb="94" eb="96">
      <t>キボウ</t>
    </rPh>
    <rPh sb="100" eb="102">
      <t>センタク</t>
    </rPh>
    <rPh sb="112" eb="114">
      <t>ウケイレ</t>
    </rPh>
    <rPh sb="114" eb="116">
      <t>キギョウ</t>
    </rPh>
    <rPh sb="118" eb="120">
      <t>シハラ</t>
    </rPh>
    <rPh sb="123" eb="125">
      <t>キギョウ</t>
    </rPh>
    <rPh sb="133" eb="135">
      <t>シハラ</t>
    </rPh>
    <rPh sb="138" eb="141">
      <t>ブンタンキン</t>
    </rPh>
    <rPh sb="142" eb="144">
      <t>シハラ</t>
    </rPh>
    <rPh sb="147" eb="149">
      <t>ソウサイ</t>
    </rPh>
    <phoneticPr fontId="2"/>
  </si>
  <si>
    <t>（アジア等ゼロエミッション化人材育成事業のみ補助対象）</t>
    <rPh sb="18" eb="20">
      <t>ジギョウ</t>
    </rPh>
    <rPh sb="22" eb="24">
      <t>ホジョ</t>
    </rPh>
    <rPh sb="24" eb="26">
      <t>タイショウ</t>
    </rPh>
    <phoneticPr fontId="2"/>
  </si>
  <si>
    <t>渡航費</t>
    <rPh sb="0" eb="3">
      <t>トコウヒ</t>
    </rPh>
    <phoneticPr fontId="2"/>
  </si>
  <si>
    <t>企業への補助金のうち、AOTSが直接受け取る補助金</t>
    <rPh sb="0" eb="2">
      <t>キギョウ</t>
    </rPh>
    <rPh sb="4" eb="7">
      <t>ホジョキン</t>
    </rPh>
    <rPh sb="16" eb="18">
      <t>チョクセツ</t>
    </rPh>
    <rPh sb="18" eb="19">
      <t>ウ</t>
    </rPh>
    <rPh sb="20" eb="21">
      <t>ト</t>
    </rPh>
    <rPh sb="22" eb="25">
      <t>ホジョキン</t>
    </rPh>
    <phoneticPr fontId="2"/>
  </si>
  <si>
    <t>AOTSが直接受け取る補助金</t>
    <rPh sb="5" eb="7">
      <t>チョクセツ</t>
    </rPh>
    <rPh sb="7" eb="8">
      <t>ウ</t>
    </rPh>
    <rPh sb="9" eb="10">
      <t>ト</t>
    </rPh>
    <rPh sb="11" eb="14">
      <t>ホジョキン</t>
    </rPh>
    <phoneticPr fontId="2"/>
  </si>
  <si>
    <t>AOTSが直接受け取る補助金</t>
    <phoneticPr fontId="2"/>
  </si>
  <si>
    <t>6W</t>
    <phoneticPr fontId="2"/>
  </si>
  <si>
    <t>：J6W費用試算シート 【試算条件】での選択値</t>
    <rPh sb="4" eb="6">
      <t>ヒヨウ</t>
    </rPh>
    <rPh sb="6" eb="8">
      <t>シサン</t>
    </rPh>
    <rPh sb="13" eb="15">
      <t>シサン</t>
    </rPh>
    <rPh sb="15" eb="17">
      <t>ジョウケン</t>
    </rPh>
    <rPh sb="20" eb="22">
      <t>センタク</t>
    </rPh>
    <rPh sb="22" eb="23">
      <t>チ</t>
    </rPh>
    <phoneticPr fontId="2"/>
  </si>
  <si>
    <t>【国内移動費基準額】　</t>
    <rPh sb="1" eb="3">
      <t>コクナイ</t>
    </rPh>
    <rPh sb="3" eb="5">
      <t>イドウ</t>
    </rPh>
    <rPh sb="5" eb="6">
      <t>ヒ</t>
    </rPh>
    <rPh sb="6" eb="8">
      <t>キジュン</t>
    </rPh>
    <rPh sb="8" eb="9">
      <t>ガク</t>
    </rPh>
    <phoneticPr fontId="2"/>
  </si>
  <si>
    <t>TKC</t>
  </si>
  <si>
    <t>TKC</t>
    <phoneticPr fontId="2"/>
  </si>
  <si>
    <t>技術･人材協力を通じた新興国との共創推進事業／中小企業に該当しない企業（重点分野）</t>
    <rPh sb="23" eb="27">
      <t>チュウショウキギョウ</t>
    </rPh>
    <rPh sb="28" eb="30">
      <t>ガイトウ</t>
    </rPh>
    <rPh sb="33" eb="35">
      <t>キギョウ</t>
    </rPh>
    <rPh sb="36" eb="38">
      <t>ジュウテン</t>
    </rPh>
    <rPh sb="38" eb="40">
      <t>ブンヤ</t>
    </rPh>
    <phoneticPr fontId="2"/>
  </si>
  <si>
    <t>技術･人材協力を通じた新興国との共創推進事業／中小企業に該当しない企業（一般分野）</t>
    <rPh sb="36" eb="38">
      <t>イッパン</t>
    </rPh>
    <rPh sb="38" eb="40">
      <t>ブンヤ</t>
    </rPh>
    <phoneticPr fontId="2"/>
  </si>
  <si>
    <t>技術･人材協力を通じた新興国との共創推進事業／中小企業</t>
  </si>
  <si>
    <t>技術･人材協力を通じた新興国との共創推進事業／中小企業に該当しない企業（アフリカ案件）</t>
    <rPh sb="40" eb="42">
      <t>アンケン</t>
    </rPh>
    <phoneticPr fontId="2"/>
  </si>
  <si>
    <t>技術･人材協力を通じた新興国との共創推進事業／中小企業（アフリカ案件）</t>
    <rPh sb="32" eb="34">
      <t>アンケン</t>
    </rPh>
    <phoneticPr fontId="2"/>
  </si>
  <si>
    <t>アジア等ゼロエミッション化人材育成等事業　低炭素技術輸出分野に係る人材育成事業／大企業</t>
    <rPh sb="40" eb="43">
      <t>ダイキギョウ</t>
    </rPh>
    <phoneticPr fontId="2"/>
  </si>
  <si>
    <t>アジア等ゼロエミッション化人材育成等事業　低炭素技術輸出分野に係る人材育成事業／中堅・中小企業</t>
    <rPh sb="40" eb="42">
      <t>チュウケン</t>
    </rPh>
    <phoneticPr fontId="2"/>
  </si>
  <si>
    <t>アジア等ゼロエミッション化人材育成等事業　低炭素技術輸出分野に係る人材育成事業／高等教育機関、公益法人</t>
  </si>
  <si>
    <t>KKC</t>
    <phoneticPr fontId="2"/>
  </si>
  <si>
    <t>2027/01/14～2027/02/24(42日・TKC)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</si>
</sst>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0_ "/>
    <numFmt numFmtId="177" formatCode="#,##0;[Red]#,##0"/>
    <numFmt numFmtId="178" formatCode="###&quot;日&quot;"/>
    <numFmt numFmtId="179" formatCode="#,##0_ ;[Red]\-#,##0\ "/>
    <numFmt numFmtId="180" formatCode="##&quot;日&quot;"/>
    <numFmt numFmtId="181" formatCode="0_);[Red]\(0\)"/>
    <numFmt numFmtId="182" formatCode="##&quot;回&quot;"/>
    <numFmt numFmtId="183" formatCode="[$-F800]dddd\,\ mmmm\ dd\,\ yyyy"/>
    <numFmt numFmtId="184" formatCode="General&quot;日&quot;"/>
    <numFmt numFmtId="185" formatCode="General&quot;月&quot;"/>
    <numFmt numFmtId="186" formatCode="&quot;～&quot;m/d"/>
    <numFmt numFmtId="187" formatCode="&quot;(&quot;m/d&quot;～)&quot;"/>
    <numFmt numFmtId="188" formatCode="&quot;(～&quot;m/d&quot;)&quot;"/>
    <numFmt numFmtId="189" formatCode="@&quot;～&quot;"/>
    <numFmt numFmtId="190" formatCode="yyyy/mm/dd"/>
    <numFmt numFmtId="191" formatCode="0&quot;日まで&quot;"/>
    <numFmt numFmtId="192" formatCode="0&quot;日&quot;"/>
    <numFmt numFmtId="193" formatCode="\(\ #,##0\)"/>
    <numFmt numFmtId="194" formatCode="#,##0_);\(#,##0\)"/>
  </numFmts>
  <fonts count="37">
    <font>
      <sz val="11"/>
      <name val="ＭＳ Ｐゴシック"/>
      <family val="3"/>
      <charset val="128"/>
    </font>
    <font>
      <sz val="11"/>
      <name val="ＭＳ Ｐゴシック"/>
      <family val="3"/>
      <charset val="128"/>
    </font>
    <font>
      <sz val="6"/>
      <name val="ＭＳ Ｐゴシック"/>
      <family val="3"/>
      <charset val="128"/>
    </font>
    <font>
      <b/>
      <sz val="11"/>
      <color indexed="12"/>
      <name val="ＭＳ Ｐゴシック"/>
      <family val="3"/>
      <charset val="128"/>
    </font>
    <font>
      <sz val="10"/>
      <name val="ＭＳ Ｐゴシック"/>
      <family val="3"/>
      <charset val="128"/>
    </font>
    <font>
      <b/>
      <sz val="10"/>
      <name val="ＭＳ Ｐゴシック"/>
      <family val="3"/>
      <charset val="128"/>
    </font>
    <font>
      <sz val="11"/>
      <color indexed="14"/>
      <name val="ＭＳ Ｐゴシック"/>
      <family val="3"/>
      <charset val="128"/>
    </font>
    <font>
      <sz val="9"/>
      <name val="ＭＳ Ｐゴシック"/>
      <family val="3"/>
      <charset val="128"/>
    </font>
    <font>
      <b/>
      <sz val="10"/>
      <color indexed="12"/>
      <name val="ＭＳ Ｐゴシック"/>
      <family val="3"/>
      <charset val="128"/>
    </font>
    <font>
      <b/>
      <sz val="11"/>
      <name val="ＭＳ Ｐゴシック"/>
      <family val="3"/>
      <charset val="128"/>
    </font>
    <font>
      <sz val="10"/>
      <color indexed="9"/>
      <name val="ＭＳ Ｐゴシック"/>
      <family val="3"/>
      <charset val="128"/>
    </font>
    <font>
      <sz val="11"/>
      <name val="ＭＳ 明朝"/>
      <family val="1"/>
      <charset val="128"/>
    </font>
    <font>
      <b/>
      <sz val="12"/>
      <name val="ＭＳ Ｐゴシック"/>
      <family val="3"/>
      <charset val="128"/>
    </font>
    <font>
      <sz val="8"/>
      <name val="ＭＳ Ｐゴシック"/>
      <family val="3"/>
      <charset val="128"/>
    </font>
    <font>
      <sz val="12"/>
      <name val="ＭＳ Ｐゴシック"/>
      <family val="3"/>
      <charset val="128"/>
    </font>
    <font>
      <sz val="9"/>
      <color indexed="9"/>
      <name val="ＭＳ Ｐゴシック"/>
      <family val="3"/>
      <charset val="128"/>
    </font>
    <font>
      <sz val="11"/>
      <color indexed="9"/>
      <name val="ＭＳ Ｐゴシック"/>
      <family val="3"/>
      <charset val="128"/>
    </font>
    <font>
      <sz val="8"/>
      <color indexed="9"/>
      <name val="ＭＳ Ｐゴシック"/>
      <family val="3"/>
      <charset val="128"/>
    </font>
    <font>
      <b/>
      <sz val="14"/>
      <name val="ＭＳ Ｐゴシック"/>
      <family val="3"/>
      <charset val="128"/>
    </font>
    <font>
      <sz val="11"/>
      <color indexed="12"/>
      <name val="ＭＳ Ｐゴシック"/>
      <family val="3"/>
      <charset val="128"/>
    </font>
    <font>
      <sz val="11"/>
      <color indexed="63"/>
      <name val="ＭＳ Ｐゴシック"/>
      <family val="3"/>
      <charset val="128"/>
    </font>
    <font>
      <b/>
      <i/>
      <sz val="11"/>
      <color indexed="12"/>
      <name val="ＭＳ Ｐゴシック"/>
      <family val="3"/>
      <charset val="128"/>
    </font>
    <font>
      <sz val="6"/>
      <name val="ＭＳ Ｐゴシック"/>
      <family val="3"/>
      <charset val="128"/>
      <scheme val="minor"/>
    </font>
    <font>
      <sz val="10"/>
      <color theme="0"/>
      <name val="ＭＳ Ｐゴシック"/>
      <family val="3"/>
      <charset val="128"/>
    </font>
    <font>
      <b/>
      <sz val="16"/>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z val="6"/>
      <color theme="0"/>
      <name val="ＭＳ Ｐゴシック"/>
      <family val="3"/>
      <charset val="128"/>
    </font>
    <font>
      <sz val="11"/>
      <color rgb="FF0000FF"/>
      <name val="ＭＳ Ｐゴシック"/>
      <family val="3"/>
      <charset val="128"/>
    </font>
    <font>
      <b/>
      <sz val="11"/>
      <color rgb="FF0000FF"/>
      <name val="ＭＳ Ｐゴシック"/>
      <family val="3"/>
      <charset val="128"/>
    </font>
    <font>
      <sz val="10"/>
      <color rgb="FFFF0000"/>
      <name val="ＭＳ Ｐゴシック"/>
      <family val="3"/>
      <charset val="128"/>
    </font>
    <font>
      <sz val="11"/>
      <color theme="0"/>
      <name val="ＭＳ Ｐゴシック"/>
      <family val="3"/>
      <charset val="128"/>
    </font>
    <font>
      <sz val="11"/>
      <color rgb="FFFF0000"/>
      <name val="ＭＳ Ｐゴシック"/>
      <family val="3"/>
      <charset val="128"/>
    </font>
    <font>
      <b/>
      <sz val="14"/>
      <color theme="1"/>
      <name val="ＭＳ Ｐゴシック"/>
      <family val="3"/>
      <charset val="128"/>
    </font>
    <font>
      <b/>
      <vertAlign val="superscript"/>
      <sz val="11"/>
      <name val="ＭＳ Ｐゴシック"/>
      <family val="3"/>
      <charset val="128"/>
    </font>
    <font>
      <sz val="9"/>
      <color indexed="81"/>
      <name val="MS P ゴシック"/>
      <family val="3"/>
      <charset val="128"/>
    </font>
  </fonts>
  <fills count="24">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66FFFF"/>
        <bgColor indexed="64"/>
      </patternFill>
    </fill>
    <fill>
      <patternFill patternType="solid">
        <fgColor rgb="FFFFCCFF"/>
        <bgColor indexed="64"/>
      </patternFill>
    </fill>
    <fill>
      <patternFill patternType="solid">
        <fgColor theme="6" tint="0.59999389629810485"/>
        <bgColor indexed="64"/>
      </patternFill>
    </fill>
    <fill>
      <patternFill patternType="solid">
        <fgColor theme="0"/>
        <bgColor indexed="64"/>
      </patternFill>
    </fill>
    <fill>
      <patternFill patternType="solid">
        <fgColor theme="1" tint="0.499984740745262"/>
        <bgColor indexed="64"/>
      </patternFill>
    </fill>
    <fill>
      <patternFill patternType="solid">
        <fgColor theme="4"/>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CC99"/>
        <bgColor indexed="64"/>
      </patternFill>
    </fill>
    <fill>
      <patternFill patternType="gray125">
        <fgColor theme="3"/>
        <bgColor rgb="FF66FFFF"/>
      </patternFill>
    </fill>
    <fill>
      <patternFill patternType="gray125">
        <bgColor rgb="FFFFCCFF"/>
      </patternFill>
    </fill>
    <fill>
      <patternFill patternType="solid">
        <fgColor rgb="FFCCFFCC"/>
        <bgColor indexed="64"/>
      </patternFill>
    </fill>
    <fill>
      <patternFill patternType="gray125">
        <bgColor rgb="FFCCFFCC"/>
      </patternFill>
    </fill>
    <fill>
      <patternFill patternType="solid">
        <fgColor rgb="FF66FFFF"/>
        <bgColor theme="3"/>
      </patternFill>
    </fill>
    <fill>
      <patternFill patternType="solid">
        <fgColor rgb="FFFFFF99"/>
        <bgColor indexed="64"/>
      </patternFill>
    </fill>
    <fill>
      <patternFill patternType="solid">
        <fgColor rgb="FFFFFFCC"/>
        <bgColor indexed="64"/>
      </patternFill>
    </fill>
  </fills>
  <borders count="274">
    <border>
      <left/>
      <right/>
      <top/>
      <bottom/>
      <diagonal/>
    </border>
    <border>
      <left style="medium">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double">
        <color indexed="64"/>
      </top>
      <bottom style="thin">
        <color indexed="64"/>
      </bottom>
      <diagonal/>
    </border>
    <border>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thin">
        <color indexed="64"/>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style="dashed">
        <color indexed="64"/>
      </bottom>
      <diagonal/>
    </border>
    <border>
      <left style="medium">
        <color indexed="64"/>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style="dashed">
        <color indexed="64"/>
      </bottom>
      <diagonal/>
    </border>
    <border>
      <left/>
      <right style="medium">
        <color indexed="64"/>
      </right>
      <top style="hair">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style="medium">
        <color indexed="64"/>
      </left>
      <right style="medium">
        <color indexed="64"/>
      </right>
      <top/>
      <bottom style="dashed">
        <color indexed="64"/>
      </bottom>
      <diagonal/>
    </border>
    <border>
      <left style="hair">
        <color indexed="64"/>
      </left>
      <right style="thin">
        <color indexed="64"/>
      </right>
      <top/>
      <bottom style="dashed">
        <color indexed="64"/>
      </bottom>
      <diagonal/>
    </border>
    <border>
      <left style="hair">
        <color indexed="64"/>
      </left>
      <right style="medium">
        <color indexed="64"/>
      </right>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style="thin">
        <color indexed="64"/>
      </right>
      <top/>
      <bottom/>
      <diagonal/>
    </border>
    <border>
      <left style="thin">
        <color indexed="64"/>
      </left>
      <right/>
      <top style="dashed">
        <color indexed="64"/>
      </top>
      <bottom/>
      <diagonal/>
    </border>
    <border>
      <left style="thin">
        <color indexed="64"/>
      </left>
      <right/>
      <top style="dashed">
        <color indexed="64"/>
      </top>
      <bottom style="dashed">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medium">
        <color indexed="64"/>
      </right>
      <top style="dashed">
        <color indexed="64"/>
      </top>
      <bottom style="thin">
        <color indexed="64"/>
      </bottom>
      <diagonal/>
    </border>
    <border>
      <left style="medium">
        <color indexed="64"/>
      </left>
      <right style="medium">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medium">
        <color indexed="64"/>
      </left>
      <right style="medium">
        <color indexed="64"/>
      </right>
      <top style="dashed">
        <color indexed="64"/>
      </top>
      <bottom/>
      <diagonal/>
    </border>
    <border>
      <left/>
      <right/>
      <top style="dashed">
        <color indexed="64"/>
      </top>
      <bottom/>
      <diagonal/>
    </border>
    <border>
      <left style="hair">
        <color indexed="64"/>
      </left>
      <right style="thin">
        <color indexed="64"/>
      </right>
      <top style="dashed">
        <color indexed="64"/>
      </top>
      <bottom/>
      <diagonal/>
    </border>
    <border>
      <left style="hair">
        <color indexed="64"/>
      </left>
      <right style="medium">
        <color indexed="64"/>
      </right>
      <top style="dashed">
        <color indexed="64"/>
      </top>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ck">
        <color indexed="12"/>
      </top>
      <bottom style="thick">
        <color indexed="12"/>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hair">
        <color indexed="64"/>
      </right>
      <top style="medium">
        <color indexed="64"/>
      </top>
      <bottom style="medium">
        <color indexed="64"/>
      </bottom>
      <diagonal/>
    </border>
    <border>
      <left/>
      <right style="hair">
        <color indexed="64"/>
      </right>
      <top/>
      <bottom style="dashed">
        <color indexed="64"/>
      </bottom>
      <diagonal/>
    </border>
    <border>
      <left style="thin">
        <color indexed="64"/>
      </left>
      <right style="hair">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hair">
        <color indexed="64"/>
      </right>
      <top style="dashed">
        <color indexed="64"/>
      </top>
      <bottom/>
      <diagonal/>
    </border>
    <border>
      <left style="thin">
        <color indexed="64"/>
      </left>
      <right style="hair">
        <color indexed="64"/>
      </right>
      <top style="dashed">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medium">
        <color indexed="64"/>
      </right>
      <top style="dashed">
        <color indexed="64"/>
      </top>
      <bottom style="double">
        <color indexed="64"/>
      </bottom>
      <diagonal/>
    </border>
    <border>
      <left/>
      <right style="hair">
        <color indexed="64"/>
      </right>
      <top style="dashed">
        <color indexed="64"/>
      </top>
      <bottom style="double">
        <color indexed="64"/>
      </bottom>
      <diagonal/>
    </border>
    <border>
      <left style="hair">
        <color indexed="64"/>
      </left>
      <right style="thin">
        <color indexed="64"/>
      </right>
      <top style="dashed">
        <color indexed="64"/>
      </top>
      <bottom style="double">
        <color indexed="64"/>
      </bottom>
      <diagonal/>
    </border>
    <border>
      <left style="thin">
        <color indexed="64"/>
      </left>
      <right style="hair">
        <color indexed="64"/>
      </right>
      <top style="dashed">
        <color indexed="64"/>
      </top>
      <bottom style="double">
        <color indexed="64"/>
      </bottom>
      <diagonal/>
    </border>
    <border>
      <left style="hair">
        <color indexed="64"/>
      </left>
      <right style="medium">
        <color indexed="64"/>
      </right>
      <top style="dashed">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ck">
        <color indexed="12"/>
      </top>
      <bottom style="thick">
        <color indexed="12"/>
      </bottom>
      <diagonal/>
    </border>
    <border>
      <left/>
      <right style="thin">
        <color indexed="64"/>
      </right>
      <top style="thick">
        <color indexed="12"/>
      </top>
      <bottom style="thick">
        <color indexed="12"/>
      </bottom>
      <diagonal/>
    </border>
    <border>
      <left/>
      <right style="thick">
        <color indexed="12"/>
      </right>
      <top style="thick">
        <color indexed="12"/>
      </top>
      <bottom style="thick">
        <color indexed="12"/>
      </bottom>
      <diagonal/>
    </border>
    <border>
      <left style="thick">
        <color indexed="12"/>
      </left>
      <right/>
      <top style="thick">
        <color indexed="12"/>
      </top>
      <bottom style="thick">
        <color indexed="12"/>
      </bottom>
      <diagonal/>
    </border>
    <border>
      <left/>
      <right/>
      <top style="thick">
        <color indexed="12"/>
      </top>
      <bottom style="thick">
        <color indexed="12"/>
      </bottom>
      <diagonal/>
    </border>
    <border>
      <left/>
      <right style="medium">
        <color indexed="64"/>
      </right>
      <top style="thick">
        <color indexed="12"/>
      </top>
      <bottom style="thick">
        <color indexed="12"/>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top style="thick">
        <color indexed="12"/>
      </top>
      <bottom style="thick">
        <color indexed="12"/>
      </bottom>
      <diagonal/>
    </border>
    <border>
      <left style="medium">
        <color indexed="64"/>
      </left>
      <right/>
      <top style="double">
        <color indexed="64"/>
      </top>
      <bottom style="thick">
        <color indexed="12"/>
      </bottom>
      <diagonal/>
    </border>
    <border>
      <left/>
      <right/>
      <top style="double">
        <color indexed="64"/>
      </top>
      <bottom style="thick">
        <color indexed="12"/>
      </bottom>
      <diagonal/>
    </border>
    <border>
      <left/>
      <right style="medium">
        <color indexed="64"/>
      </right>
      <top style="double">
        <color indexed="64"/>
      </top>
      <bottom style="thick">
        <color indexed="12"/>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uble">
        <color indexed="64"/>
      </top>
      <bottom style="thick">
        <color indexed="12"/>
      </bottom>
      <diagonal/>
    </border>
    <border>
      <left style="thin">
        <color indexed="64"/>
      </left>
      <right style="thin">
        <color indexed="64"/>
      </right>
      <top style="double">
        <color indexed="64"/>
      </top>
      <bottom style="thick">
        <color indexed="12"/>
      </bottom>
      <diagonal/>
    </border>
    <border>
      <left style="thin">
        <color indexed="64"/>
      </left>
      <right style="medium">
        <color indexed="64"/>
      </right>
      <top style="double">
        <color indexed="64"/>
      </top>
      <bottom style="thick">
        <color indexed="12"/>
      </bottom>
      <diagonal/>
    </border>
    <border>
      <left/>
      <right/>
      <top style="thick">
        <color indexed="12"/>
      </top>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diagonal/>
    </border>
    <border>
      <left style="thin">
        <color indexed="64"/>
      </left>
      <right style="medium">
        <color indexed="64"/>
      </right>
      <top style="dashed">
        <color indexed="64"/>
      </top>
      <bottom style="hair">
        <color theme="1" tint="0.499984740745262"/>
      </bottom>
      <diagonal/>
    </border>
    <border>
      <left style="medium">
        <color indexed="64"/>
      </left>
      <right style="medium">
        <color indexed="64"/>
      </right>
      <top style="dashed">
        <color indexed="64"/>
      </top>
      <bottom style="hair">
        <color theme="1" tint="0.499984740745262"/>
      </bottom>
      <diagonal/>
    </border>
    <border>
      <left/>
      <right/>
      <top style="dashed">
        <color indexed="64"/>
      </top>
      <bottom style="hair">
        <color theme="1" tint="0.499984740745262"/>
      </bottom>
      <diagonal/>
    </border>
    <border>
      <left style="hair">
        <color indexed="64"/>
      </left>
      <right style="thin">
        <color indexed="64"/>
      </right>
      <top style="dashed">
        <color indexed="64"/>
      </top>
      <bottom style="hair">
        <color theme="1" tint="0.499984740745262"/>
      </bottom>
      <diagonal/>
    </border>
    <border>
      <left style="thin">
        <color indexed="64"/>
      </left>
      <right/>
      <top style="dashed">
        <color indexed="64"/>
      </top>
      <bottom style="hair">
        <color theme="1" tint="0.499984740745262"/>
      </bottom>
      <diagonal/>
    </border>
    <border>
      <left style="hair">
        <color indexed="64"/>
      </left>
      <right style="medium">
        <color indexed="64"/>
      </right>
      <top style="dashed">
        <color indexed="64"/>
      </top>
      <bottom style="hair">
        <color theme="1" tint="0.499984740745262"/>
      </bottom>
      <diagonal/>
    </border>
    <border>
      <left style="thin">
        <color indexed="64"/>
      </left>
      <right style="medium">
        <color indexed="64"/>
      </right>
      <top style="hair">
        <color theme="1" tint="0.499984740745262"/>
      </top>
      <bottom style="dashed">
        <color indexed="64"/>
      </bottom>
      <diagonal/>
    </border>
    <border>
      <left style="medium">
        <color indexed="64"/>
      </left>
      <right style="medium">
        <color indexed="64"/>
      </right>
      <top style="hair">
        <color theme="1" tint="0.499984740745262"/>
      </top>
      <bottom style="dashed">
        <color indexed="64"/>
      </bottom>
      <diagonal/>
    </border>
    <border>
      <left/>
      <right/>
      <top style="hair">
        <color theme="1" tint="0.499984740745262"/>
      </top>
      <bottom style="dashed">
        <color indexed="64"/>
      </bottom>
      <diagonal/>
    </border>
    <border>
      <left style="hair">
        <color indexed="64"/>
      </left>
      <right style="thin">
        <color indexed="64"/>
      </right>
      <top style="hair">
        <color theme="1" tint="0.499984740745262"/>
      </top>
      <bottom style="dashed">
        <color indexed="64"/>
      </bottom>
      <diagonal/>
    </border>
    <border>
      <left style="medium">
        <color indexed="64"/>
      </left>
      <right style="hair">
        <color indexed="64"/>
      </right>
      <top style="dashed">
        <color indexed="64"/>
      </top>
      <bottom style="hair">
        <color theme="1" tint="0.499984740745262"/>
      </bottom>
      <diagonal/>
    </border>
    <border>
      <left style="thin">
        <color indexed="64"/>
      </left>
      <right style="hair">
        <color indexed="64"/>
      </right>
      <top style="dashed">
        <color indexed="64"/>
      </top>
      <bottom style="hair">
        <color theme="1" tint="0.499984740745262"/>
      </bottom>
      <diagonal/>
    </border>
    <border>
      <left style="thin">
        <color indexed="64"/>
      </left>
      <right/>
      <top style="hair">
        <color theme="1" tint="0.499984740745262"/>
      </top>
      <bottom style="dashed">
        <color indexed="64"/>
      </bottom>
      <diagonal/>
    </border>
    <border>
      <left style="medium">
        <color indexed="64"/>
      </left>
      <right style="hair">
        <color indexed="64"/>
      </right>
      <top style="hair">
        <color theme="1" tint="0.499984740745262"/>
      </top>
      <bottom style="dashed">
        <color indexed="64"/>
      </bottom>
      <diagonal/>
    </border>
    <border>
      <left style="thin">
        <color indexed="64"/>
      </left>
      <right style="hair">
        <color indexed="64"/>
      </right>
      <top style="hair">
        <color theme="1" tint="0.499984740745262"/>
      </top>
      <bottom style="dashed">
        <color indexed="64"/>
      </bottom>
      <diagonal/>
    </border>
    <border>
      <left style="medium">
        <color indexed="64"/>
      </left>
      <right/>
      <top style="dashed">
        <color indexed="64"/>
      </top>
      <bottom style="hair">
        <color theme="1" tint="0.499984740745262"/>
      </bottom>
      <diagonal/>
    </border>
    <border>
      <left style="hair">
        <color indexed="64"/>
      </left>
      <right/>
      <top style="dashed">
        <color indexed="64"/>
      </top>
      <bottom style="hair">
        <color theme="1" tint="0.499984740745262"/>
      </bottom>
      <diagonal/>
    </border>
    <border>
      <left style="medium">
        <color indexed="64"/>
      </left>
      <right/>
      <top style="hair">
        <color theme="1" tint="0.499984740745262"/>
      </top>
      <bottom style="dashed">
        <color indexed="64"/>
      </bottom>
      <diagonal/>
    </border>
    <border>
      <left style="hair">
        <color indexed="64"/>
      </left>
      <right/>
      <top style="hair">
        <color theme="1" tint="0.499984740745262"/>
      </top>
      <bottom style="dashed">
        <color indexed="64"/>
      </bottom>
      <diagonal/>
    </border>
    <border>
      <left/>
      <right style="thin">
        <color indexed="64"/>
      </right>
      <top style="thin">
        <color indexed="64"/>
      </top>
      <bottom style="hair">
        <color theme="1" tint="0.499984740745262"/>
      </bottom>
      <diagonal/>
    </border>
    <border>
      <left style="thin">
        <color indexed="64"/>
      </left>
      <right style="thin">
        <color indexed="64"/>
      </right>
      <top style="thin">
        <color indexed="64"/>
      </top>
      <bottom style="hair">
        <color theme="1" tint="0.499984740745262"/>
      </bottom>
      <diagonal/>
    </border>
    <border>
      <left/>
      <right style="medium">
        <color indexed="64"/>
      </right>
      <top style="thin">
        <color indexed="64"/>
      </top>
      <bottom style="hair">
        <color theme="1" tint="0.499984740745262"/>
      </bottom>
      <diagonal/>
    </border>
    <border>
      <left style="medium">
        <color indexed="64"/>
      </left>
      <right/>
      <top style="thin">
        <color indexed="64"/>
      </top>
      <bottom style="hair">
        <color theme="1" tint="0.499984740745262"/>
      </bottom>
      <diagonal/>
    </border>
    <border>
      <left style="thin">
        <color indexed="64"/>
      </left>
      <right/>
      <top style="thin">
        <color indexed="64"/>
      </top>
      <bottom style="hair">
        <color theme="1" tint="0.499984740745262"/>
      </bottom>
      <diagonal/>
    </border>
    <border>
      <left/>
      <right style="thin">
        <color indexed="64"/>
      </right>
      <top style="hair">
        <color theme="1" tint="0.499984740745262"/>
      </top>
      <bottom style="thin">
        <color indexed="64"/>
      </bottom>
      <diagonal/>
    </border>
    <border>
      <left style="thin">
        <color indexed="64"/>
      </left>
      <right style="thin">
        <color indexed="64"/>
      </right>
      <top style="hair">
        <color theme="1" tint="0.499984740745262"/>
      </top>
      <bottom style="thin">
        <color indexed="64"/>
      </bottom>
      <diagonal/>
    </border>
    <border>
      <left/>
      <right style="medium">
        <color indexed="64"/>
      </right>
      <top style="hair">
        <color theme="1" tint="0.499984740745262"/>
      </top>
      <bottom style="thin">
        <color indexed="64"/>
      </bottom>
      <diagonal/>
    </border>
    <border>
      <left style="medium">
        <color indexed="64"/>
      </left>
      <right/>
      <top style="hair">
        <color theme="1" tint="0.499984740745262"/>
      </top>
      <bottom style="thin">
        <color indexed="64"/>
      </bottom>
      <diagonal/>
    </border>
    <border>
      <left style="thin">
        <color indexed="64"/>
      </left>
      <right/>
      <top style="hair">
        <color theme="1" tint="0.499984740745262"/>
      </top>
      <bottom style="thin">
        <color indexed="64"/>
      </bottom>
      <diagonal/>
    </border>
    <border>
      <left style="dashed">
        <color indexed="64"/>
      </left>
      <right style="thin">
        <color indexed="64"/>
      </right>
      <top style="thin">
        <color indexed="64"/>
      </top>
      <bottom style="hair">
        <color theme="1" tint="0.499984740745262"/>
      </bottom>
      <diagonal/>
    </border>
    <border>
      <left style="dashed">
        <color indexed="64"/>
      </left>
      <right style="thin">
        <color indexed="64"/>
      </right>
      <top style="hair">
        <color theme="1" tint="0.499984740745262"/>
      </top>
      <bottom style="thin">
        <color indexed="64"/>
      </bottom>
      <diagonal/>
    </border>
    <border>
      <left/>
      <right style="thin">
        <color indexed="64"/>
      </right>
      <top/>
      <bottom style="double">
        <color indexed="64"/>
      </bottom>
      <diagonal/>
    </border>
    <border>
      <left style="medium">
        <color indexed="64"/>
      </left>
      <right/>
      <top style="medium">
        <color indexed="64"/>
      </top>
      <bottom style="dashed">
        <color indexed="64"/>
      </bottom>
      <diagonal/>
    </border>
    <border>
      <left style="hair">
        <color indexed="64"/>
      </left>
      <right style="thin">
        <color indexed="64"/>
      </right>
      <top style="medium">
        <color indexed="64"/>
      </top>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style="thin">
        <color indexed="64"/>
      </right>
      <top style="thin">
        <color indexed="64"/>
      </top>
      <bottom style="hair">
        <color indexed="64"/>
      </bottom>
      <diagonal/>
    </border>
    <border>
      <left/>
      <right/>
      <top/>
      <bottom style="double">
        <color indexed="64"/>
      </bottom>
      <diagonal/>
    </border>
  </borders>
  <cellStyleXfs count="3">
    <xf numFmtId="0" fontId="0" fillId="0" borderId="0"/>
    <xf numFmtId="38" fontId="1" fillId="0" borderId="0" applyFont="0" applyFill="0" applyBorder="0" applyAlignment="0" applyProtection="0"/>
    <xf numFmtId="0" fontId="11" fillId="0" borderId="0">
      <alignment vertical="center"/>
    </xf>
  </cellStyleXfs>
  <cellXfs count="914">
    <xf numFmtId="0" fontId="0" fillId="0" borderId="0" xfId="0"/>
    <xf numFmtId="0" fontId="4" fillId="0" borderId="0" xfId="0" applyFont="1" applyAlignment="1">
      <alignment vertical="center"/>
    </xf>
    <xf numFmtId="0" fontId="4" fillId="3" borderId="0" xfId="0" applyFont="1" applyFill="1" applyAlignment="1">
      <alignment vertical="center"/>
    </xf>
    <xf numFmtId="0" fontId="4" fillId="0" borderId="0" xfId="0" applyFont="1"/>
    <xf numFmtId="0" fontId="4" fillId="0" borderId="9"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14" fontId="4" fillId="0" borderId="15" xfId="0" applyNumberFormat="1" applyFont="1" applyBorder="1" applyAlignment="1">
      <alignment vertical="center"/>
    </xf>
    <xf numFmtId="0" fontId="4" fillId="0" borderId="28" xfId="0" applyFont="1" applyBorder="1" applyAlignment="1">
      <alignment horizontal="righ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30" xfId="0" applyFont="1" applyBorder="1" applyAlignment="1">
      <alignment horizontal="right" vertical="center"/>
    </xf>
    <xf numFmtId="41" fontId="4" fillId="0" borderId="31" xfId="0" applyNumberFormat="1" applyFont="1" applyBorder="1" applyAlignment="1">
      <alignment horizontal="center" vertical="center"/>
    </xf>
    <xf numFmtId="14" fontId="4" fillId="0" borderId="32" xfId="0" applyNumberFormat="1" applyFont="1" applyBorder="1" applyAlignment="1">
      <alignment vertical="center"/>
    </xf>
    <xf numFmtId="0" fontId="4" fillId="0" borderId="33" xfId="0" applyFont="1" applyBorder="1" applyAlignment="1">
      <alignment vertical="center"/>
    </xf>
    <xf numFmtId="0" fontId="4" fillId="0" borderId="32" xfId="0" applyFont="1" applyBorder="1" applyAlignment="1">
      <alignment vertical="center"/>
    </xf>
    <xf numFmtId="41" fontId="4" fillId="0" borderId="32" xfId="0" applyNumberFormat="1" applyFont="1" applyBorder="1" applyAlignment="1">
      <alignment vertical="center"/>
    </xf>
    <xf numFmtId="41" fontId="4" fillId="0" borderId="16" xfId="0" applyNumberFormat="1" applyFont="1" applyBorder="1" applyAlignment="1">
      <alignment vertical="center"/>
    </xf>
    <xf numFmtId="0" fontId="4" fillId="0" borderId="40" xfId="0" applyFont="1" applyBorder="1" applyAlignment="1">
      <alignment horizontal="right" vertical="center"/>
    </xf>
    <xf numFmtId="0" fontId="4" fillId="0" borderId="52" xfId="0" applyFont="1" applyBorder="1" applyAlignment="1">
      <alignment horizontal="left" vertical="center" indent="1"/>
    </xf>
    <xf numFmtId="0" fontId="4" fillId="0" borderId="54" xfId="0" applyFont="1" applyBorder="1" applyAlignment="1">
      <alignment horizontal="left" vertical="center" indent="1"/>
    </xf>
    <xf numFmtId="0" fontId="4" fillId="0" borderId="58" xfId="0" applyFont="1" applyBorder="1" applyAlignment="1">
      <alignment vertical="center"/>
    </xf>
    <xf numFmtId="14" fontId="4" fillId="0" borderId="56" xfId="0" applyNumberFormat="1" applyFont="1" applyBorder="1" applyAlignment="1">
      <alignment vertical="center"/>
    </xf>
    <xf numFmtId="14" fontId="4" fillId="0" borderId="58" xfId="0" applyNumberFormat="1" applyFont="1" applyBorder="1" applyAlignment="1">
      <alignment vertical="center"/>
    </xf>
    <xf numFmtId="0" fontId="4" fillId="0" borderId="62" xfId="0" applyFont="1" applyBorder="1" applyAlignment="1">
      <alignment vertical="center"/>
    </xf>
    <xf numFmtId="0" fontId="4" fillId="0" borderId="63" xfId="0" applyFont="1" applyBorder="1" applyAlignment="1">
      <alignment vertical="center"/>
    </xf>
    <xf numFmtId="0" fontId="4" fillId="0" borderId="66" xfId="0" applyFont="1" applyBorder="1" applyAlignment="1">
      <alignment vertical="center"/>
    </xf>
    <xf numFmtId="0" fontId="4" fillId="0" borderId="67" xfId="0" applyFont="1" applyBorder="1" applyAlignment="1">
      <alignment vertical="center"/>
    </xf>
    <xf numFmtId="0" fontId="4" fillId="0" borderId="78" xfId="0" applyFont="1" applyBorder="1" applyAlignment="1">
      <alignment horizontal="right" vertical="center"/>
    </xf>
    <xf numFmtId="41" fontId="4" fillId="0" borderId="79" xfId="0" applyNumberFormat="1" applyFont="1" applyBorder="1" applyAlignment="1">
      <alignment horizontal="right" vertical="center"/>
    </xf>
    <xf numFmtId="0" fontId="4" fillId="0" borderId="80" xfId="0" applyFont="1" applyBorder="1" applyAlignment="1">
      <alignment vertical="center"/>
    </xf>
    <xf numFmtId="41" fontId="4" fillId="0" borderId="75" xfId="0" applyNumberFormat="1" applyFont="1" applyBorder="1" applyAlignment="1">
      <alignment horizontal="right" vertical="center"/>
    </xf>
    <xf numFmtId="0" fontId="4" fillId="0" borderId="0" xfId="0" applyFont="1" applyAlignment="1">
      <alignment horizontal="center" vertical="center"/>
    </xf>
    <xf numFmtId="0" fontId="4" fillId="0" borderId="14" xfId="0" applyFont="1" applyBorder="1" applyAlignment="1">
      <alignment vertical="center"/>
    </xf>
    <xf numFmtId="0" fontId="4" fillId="0" borderId="17" xfId="2" applyFont="1" applyBorder="1" applyAlignment="1">
      <alignment horizontal="center" vertical="center"/>
    </xf>
    <xf numFmtId="38" fontId="4" fillId="0" borderId="34" xfId="1" applyFont="1" applyBorder="1" applyAlignment="1" applyProtection="1">
      <alignment vertical="center"/>
    </xf>
    <xf numFmtId="38" fontId="4" fillId="0" borderId="18" xfId="1" applyFont="1" applyBorder="1" applyAlignment="1" applyProtection="1">
      <alignment vertical="center"/>
    </xf>
    <xf numFmtId="189" fontId="4" fillId="0" borderId="77" xfId="0" applyNumberFormat="1" applyFont="1" applyBorder="1" applyAlignment="1">
      <alignment vertical="center"/>
    </xf>
    <xf numFmtId="0" fontId="4" fillId="0" borderId="206" xfId="0" applyFont="1" applyBorder="1" applyAlignment="1">
      <alignment horizontal="center" vertical="center"/>
    </xf>
    <xf numFmtId="0" fontId="4" fillId="0" borderId="86" xfId="0" applyFont="1" applyBorder="1" applyAlignment="1">
      <alignment vertical="center"/>
    </xf>
    <xf numFmtId="0" fontId="4" fillId="0" borderId="208" xfId="0" applyFont="1" applyBorder="1" applyAlignment="1">
      <alignment horizontal="center" vertical="center"/>
    </xf>
    <xf numFmtId="0" fontId="4" fillId="0" borderId="81" xfId="0" applyFont="1" applyBorder="1" applyAlignment="1">
      <alignment vertical="center"/>
    </xf>
    <xf numFmtId="179" fontId="4" fillId="2" borderId="0" xfId="1" applyNumberFormat="1" applyFont="1" applyFill="1" applyBorder="1" applyAlignment="1" applyProtection="1">
      <protection locked="0"/>
    </xf>
    <xf numFmtId="0" fontId="4" fillId="10" borderId="9" xfId="0" applyFont="1" applyFill="1" applyBorder="1" applyAlignment="1">
      <alignment vertical="center"/>
    </xf>
    <xf numFmtId="0" fontId="4" fillId="10" borderId="158" xfId="0" applyFont="1" applyFill="1" applyBorder="1" applyAlignment="1">
      <alignment horizontal="center" vertical="center"/>
    </xf>
    <xf numFmtId="190" fontId="4" fillId="10" borderId="127" xfId="0" applyNumberFormat="1" applyFont="1" applyFill="1" applyBorder="1" applyAlignment="1">
      <alignment horizontal="center" vertical="center"/>
    </xf>
    <xf numFmtId="190" fontId="4" fillId="10" borderId="50" xfId="0" applyNumberFormat="1" applyFont="1" applyFill="1" applyBorder="1" applyAlignment="1">
      <alignment horizontal="center" vertical="center"/>
    </xf>
    <xf numFmtId="0" fontId="4" fillId="10" borderId="50" xfId="0" applyFont="1" applyFill="1" applyBorder="1" applyAlignment="1">
      <alignment horizontal="center" vertical="center"/>
    </xf>
    <xf numFmtId="181" fontId="4" fillId="10" borderId="10" xfId="0" applyNumberFormat="1" applyFont="1" applyFill="1" applyBorder="1" applyAlignment="1">
      <alignment vertical="center"/>
    </xf>
    <xf numFmtId="0" fontId="4" fillId="10" borderId="69" xfId="0" applyFont="1" applyFill="1" applyBorder="1" applyAlignment="1">
      <alignment vertical="center"/>
    </xf>
    <xf numFmtId="0" fontId="4" fillId="10" borderId="160" xfId="0" applyFont="1" applyFill="1" applyBorder="1" applyAlignment="1">
      <alignment horizontal="center" vertical="center"/>
    </xf>
    <xf numFmtId="190" fontId="4" fillId="10" borderId="177" xfId="0" applyNumberFormat="1" applyFont="1" applyFill="1" applyBorder="1" applyAlignment="1">
      <alignment horizontal="center" vertical="center"/>
    </xf>
    <xf numFmtId="190" fontId="4" fillId="10" borderId="70" xfId="0" applyNumberFormat="1" applyFont="1" applyFill="1" applyBorder="1" applyAlignment="1">
      <alignment horizontal="center" vertical="center"/>
    </xf>
    <xf numFmtId="0" fontId="4" fillId="10" borderId="70" xfId="0" applyFont="1" applyFill="1" applyBorder="1" applyAlignment="1">
      <alignment horizontal="center" vertical="center"/>
    </xf>
    <xf numFmtId="181" fontId="4" fillId="10" borderId="71" xfId="0" applyNumberFormat="1" applyFont="1" applyFill="1" applyBorder="1" applyAlignment="1">
      <alignment vertical="center"/>
    </xf>
    <xf numFmtId="0" fontId="4" fillId="10" borderId="14" xfId="0" applyFont="1" applyFill="1" applyBorder="1" applyAlignment="1">
      <alignment vertical="center"/>
    </xf>
    <xf numFmtId="190" fontId="4" fillId="10" borderId="32" xfId="0" applyNumberFormat="1" applyFont="1" applyFill="1" applyBorder="1" applyAlignment="1">
      <alignment horizontal="center" vertical="center"/>
    </xf>
    <xf numFmtId="0" fontId="4" fillId="10" borderId="32" xfId="0" applyFont="1" applyFill="1" applyBorder="1" applyAlignment="1">
      <alignment horizontal="center" vertical="center"/>
    </xf>
    <xf numFmtId="181" fontId="4" fillId="10" borderId="16" xfId="0" applyNumberFormat="1" applyFont="1" applyFill="1" applyBorder="1" applyAlignment="1">
      <alignment vertical="center"/>
    </xf>
    <xf numFmtId="0" fontId="4" fillId="10" borderId="17" xfId="0" applyFont="1" applyFill="1" applyBorder="1" applyAlignment="1">
      <alignment vertical="center"/>
    </xf>
    <xf numFmtId="190" fontId="4" fillId="10" borderId="38" xfId="0" applyNumberFormat="1" applyFont="1" applyFill="1" applyBorder="1" applyAlignment="1">
      <alignment horizontal="center" vertical="center"/>
    </xf>
    <xf numFmtId="0" fontId="4" fillId="10" borderId="38" xfId="0" applyFont="1" applyFill="1" applyBorder="1" applyAlignment="1">
      <alignment horizontal="center" vertical="center"/>
    </xf>
    <xf numFmtId="181" fontId="4" fillId="10" borderId="18" xfId="0" applyNumberFormat="1" applyFont="1" applyFill="1" applyBorder="1" applyAlignment="1">
      <alignment vertical="center"/>
    </xf>
    <xf numFmtId="0" fontId="4" fillId="10" borderId="55" xfId="0" applyFont="1" applyFill="1" applyBorder="1"/>
    <xf numFmtId="0" fontId="4" fillId="10" borderId="61" xfId="0" applyFont="1" applyFill="1" applyBorder="1" applyAlignment="1">
      <alignment vertical="center"/>
    </xf>
    <xf numFmtId="0" fontId="4" fillId="0" borderId="55" xfId="0" applyFont="1" applyBorder="1" applyAlignment="1">
      <alignment vertical="center"/>
    </xf>
    <xf numFmtId="14" fontId="4" fillId="0" borderId="59" xfId="0" applyNumberFormat="1" applyFont="1" applyBorder="1" applyAlignment="1">
      <alignment vertical="center"/>
    </xf>
    <xf numFmtId="0" fontId="4" fillId="0" borderId="60" xfId="0" applyFont="1" applyBorder="1" applyAlignment="1">
      <alignment vertical="center"/>
    </xf>
    <xf numFmtId="0" fontId="4" fillId="0" borderId="61" xfId="0" applyFont="1" applyBorder="1" applyAlignment="1">
      <alignment vertical="center"/>
    </xf>
    <xf numFmtId="0" fontId="4" fillId="0" borderId="17" xfId="0" applyFont="1" applyBorder="1" applyAlignment="1">
      <alignment vertical="center"/>
    </xf>
    <xf numFmtId="14" fontId="4" fillId="0" borderId="20" xfId="0" applyNumberFormat="1" applyFont="1" applyBorder="1" applyAlignment="1">
      <alignment vertical="center"/>
    </xf>
    <xf numFmtId="0" fontId="4" fillId="0" borderId="37" xfId="0" applyFont="1" applyBorder="1" applyAlignment="1">
      <alignment horizontal="right" vertical="center"/>
    </xf>
    <xf numFmtId="0" fontId="4" fillId="0" borderId="68" xfId="0" applyFont="1" applyBorder="1" applyAlignment="1">
      <alignment horizontal="left" vertical="center"/>
    </xf>
    <xf numFmtId="0" fontId="4" fillId="0" borderId="53" xfId="0" applyFont="1" applyBorder="1" applyAlignment="1">
      <alignment horizontal="left" vertical="center" indent="1"/>
    </xf>
    <xf numFmtId="0" fontId="4" fillId="0" borderId="57"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6" xfId="0" applyFont="1" applyBorder="1" applyAlignment="1">
      <alignment vertical="center"/>
    </xf>
    <xf numFmtId="14" fontId="4" fillId="0" borderId="7" xfId="0" applyNumberFormat="1" applyFont="1" applyBorder="1" applyAlignment="1">
      <alignment vertical="center"/>
    </xf>
    <xf numFmtId="0" fontId="4" fillId="0" borderId="25" xfId="0" applyFont="1" applyBorder="1" applyAlignment="1">
      <alignment horizontal="right" vertical="center"/>
    </xf>
    <xf numFmtId="0" fontId="4" fillId="0" borderId="51" xfId="0" applyFont="1" applyBorder="1" applyAlignment="1">
      <alignment horizontal="left" vertical="center"/>
    </xf>
    <xf numFmtId="0" fontId="4" fillId="0" borderId="74" xfId="0" applyFont="1" applyBorder="1" applyAlignment="1">
      <alignment horizontal="right" vertical="center"/>
    </xf>
    <xf numFmtId="0" fontId="4" fillId="0" borderId="207" xfId="0" applyFont="1" applyBorder="1" applyAlignment="1">
      <alignment horizontal="center" vertical="center"/>
    </xf>
    <xf numFmtId="0" fontId="4" fillId="0" borderId="76" xfId="0" applyFont="1" applyBorder="1" applyAlignment="1">
      <alignment vertical="center"/>
    </xf>
    <xf numFmtId="41" fontId="4" fillId="0" borderId="35" xfId="0" applyNumberFormat="1" applyFont="1" applyBorder="1" applyAlignment="1">
      <alignment horizontal="right" vertical="center"/>
    </xf>
    <xf numFmtId="0" fontId="4" fillId="0" borderId="83" xfId="0" applyFont="1" applyBorder="1" applyAlignment="1">
      <alignment vertical="center"/>
    </xf>
    <xf numFmtId="0" fontId="4" fillId="0" borderId="85" xfId="0" applyFont="1" applyBorder="1" applyAlignment="1">
      <alignment vertical="center"/>
    </xf>
    <xf numFmtId="0" fontId="4" fillId="0" borderId="6" xfId="0" applyFont="1" applyBorder="1" applyAlignment="1">
      <alignment horizontal="center" vertical="center"/>
    </xf>
    <xf numFmtId="38" fontId="4" fillId="0" borderId="22" xfId="1" applyFont="1" applyFill="1" applyBorder="1" applyAlignment="1" applyProtection="1">
      <alignment vertical="center"/>
    </xf>
    <xf numFmtId="38" fontId="4" fillId="0" borderId="8" xfId="1" applyFont="1" applyFill="1" applyBorder="1" applyAlignment="1" applyProtection="1">
      <alignment vertical="center"/>
    </xf>
    <xf numFmtId="0" fontId="4" fillId="0" borderId="22" xfId="0" applyFont="1" applyBorder="1" applyAlignment="1">
      <alignment horizontal="righ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4" xfId="0" applyFont="1" applyBorder="1" applyAlignment="1">
      <alignment horizontal="right" vertical="center"/>
    </xf>
    <xf numFmtId="41" fontId="4" fillId="0" borderId="25" xfId="0" applyNumberFormat="1" applyFont="1" applyBorder="1" applyAlignment="1">
      <alignment horizontal="center" vertical="center"/>
    </xf>
    <xf numFmtId="14" fontId="4" fillId="0" borderId="26" xfId="0" applyNumberFormat="1" applyFont="1" applyBorder="1" applyAlignment="1">
      <alignment vertical="center"/>
    </xf>
    <xf numFmtId="0" fontId="4" fillId="0" borderId="27" xfId="0" applyFont="1" applyBorder="1" applyAlignment="1">
      <alignment vertical="center"/>
    </xf>
    <xf numFmtId="0" fontId="4" fillId="0" borderId="26" xfId="0" applyFont="1" applyBorder="1" applyAlignment="1">
      <alignment vertical="center"/>
    </xf>
    <xf numFmtId="41" fontId="4" fillId="0" borderId="26" xfId="0" applyNumberFormat="1" applyFont="1" applyBorder="1" applyAlignment="1">
      <alignment vertical="center"/>
    </xf>
    <xf numFmtId="41" fontId="4" fillId="0" borderId="8" xfId="0" applyNumberFormat="1" applyFont="1" applyBorder="1" applyAlignment="1">
      <alignment vertical="center"/>
    </xf>
    <xf numFmtId="0" fontId="4" fillId="0" borderId="34" xfId="0" applyFont="1" applyBorder="1" applyAlignment="1">
      <alignment horizontal="right" vertical="center"/>
    </xf>
    <xf numFmtId="0" fontId="4" fillId="0" borderId="35" xfId="0" applyFont="1" applyBorder="1" applyAlignment="1">
      <alignment vertical="center"/>
    </xf>
    <xf numFmtId="0" fontId="4" fillId="0" borderId="36" xfId="0" applyFont="1" applyBorder="1" applyAlignment="1">
      <alignment vertical="center"/>
    </xf>
    <xf numFmtId="0" fontId="4" fillId="0" borderId="36" xfId="0" applyFont="1" applyBorder="1" applyAlignment="1">
      <alignment horizontal="right" vertical="center"/>
    </xf>
    <xf numFmtId="41" fontId="4" fillId="0" borderId="37" xfId="0" applyNumberFormat="1" applyFont="1" applyBorder="1" applyAlignment="1">
      <alignment horizontal="center" vertical="center"/>
    </xf>
    <xf numFmtId="14" fontId="4" fillId="0" borderId="38" xfId="0" applyNumberFormat="1" applyFont="1" applyBorder="1" applyAlignment="1">
      <alignment vertical="center"/>
    </xf>
    <xf numFmtId="0" fontId="4" fillId="0" borderId="39" xfId="0" applyFont="1" applyBorder="1" applyAlignment="1">
      <alignment vertical="center"/>
    </xf>
    <xf numFmtId="0" fontId="4" fillId="0" borderId="38" xfId="0" applyFont="1" applyBorder="1" applyAlignment="1">
      <alignment vertical="center"/>
    </xf>
    <xf numFmtId="41" fontId="4" fillId="0" borderId="38" xfId="0" applyNumberFormat="1" applyFont="1" applyBorder="1" applyAlignment="1">
      <alignment vertical="center"/>
    </xf>
    <xf numFmtId="41" fontId="4" fillId="0" borderId="18" xfId="0" applyNumberFormat="1" applyFont="1" applyBorder="1" applyAlignment="1">
      <alignment vertical="center"/>
    </xf>
    <xf numFmtId="12" fontId="4" fillId="0" borderId="158" xfId="0" applyNumberFormat="1" applyFont="1" applyBorder="1" applyAlignment="1">
      <alignment vertical="center"/>
    </xf>
    <xf numFmtId="12" fontId="4" fillId="0" borderId="10" xfId="0" applyNumberFormat="1" applyFont="1" applyBorder="1" applyAlignment="1">
      <alignment vertical="center"/>
    </xf>
    <xf numFmtId="12" fontId="4" fillId="0" borderId="34" xfId="0" applyNumberFormat="1" applyFont="1" applyBorder="1" applyAlignment="1">
      <alignment vertical="center"/>
    </xf>
    <xf numFmtId="12" fontId="4" fillId="0" borderId="18" xfId="0" applyNumberFormat="1" applyFont="1" applyBorder="1" applyAlignment="1">
      <alignment vertical="center"/>
    </xf>
    <xf numFmtId="0" fontId="4" fillId="0" borderId="7" xfId="0" applyFont="1" applyBorder="1" applyAlignment="1">
      <alignment horizontal="right" vertical="center"/>
    </xf>
    <xf numFmtId="0" fontId="4" fillId="0" borderId="8" xfId="0" applyFont="1" applyBorder="1" applyAlignment="1">
      <alignment vertical="center"/>
    </xf>
    <xf numFmtId="0" fontId="4" fillId="0" borderId="15" xfId="0" applyFont="1" applyBorder="1" applyAlignment="1">
      <alignment horizontal="right" vertical="center"/>
    </xf>
    <xf numFmtId="0" fontId="4" fillId="0" borderId="16" xfId="0" applyFont="1" applyBorder="1" applyAlignment="1">
      <alignment vertical="center"/>
    </xf>
    <xf numFmtId="0" fontId="4" fillId="0" borderId="20" xfId="0" applyFont="1" applyBorder="1" applyAlignment="1">
      <alignment horizontal="right" vertical="center"/>
    </xf>
    <xf numFmtId="0" fontId="4" fillId="0" borderId="18" xfId="0" applyFont="1" applyBorder="1" applyAlignment="1">
      <alignment vertical="center"/>
    </xf>
    <xf numFmtId="12" fontId="4" fillId="0" borderId="28" xfId="0" applyNumberFormat="1" applyFont="1" applyBorder="1" applyAlignment="1">
      <alignment vertical="center"/>
    </xf>
    <xf numFmtId="12" fontId="4" fillId="0" borderId="16" xfId="0" applyNumberFormat="1" applyFont="1" applyBorder="1" applyAlignment="1">
      <alignment vertical="center"/>
    </xf>
    <xf numFmtId="0" fontId="4" fillId="0" borderId="14" xfId="0" applyFont="1" applyBorder="1"/>
    <xf numFmtId="0" fontId="4" fillId="0" borderId="17" xfId="0" applyFont="1" applyBorder="1"/>
    <xf numFmtId="41" fontId="4" fillId="0" borderId="9" xfId="0" applyNumberFormat="1" applyFont="1" applyBorder="1"/>
    <xf numFmtId="41" fontId="4" fillId="0" borderId="14" xfId="0" applyNumberFormat="1" applyFont="1" applyBorder="1"/>
    <xf numFmtId="41" fontId="4" fillId="0" borderId="17" xfId="0" applyNumberFormat="1" applyFont="1" applyBorder="1"/>
    <xf numFmtId="0" fontId="4" fillId="0" borderId="87" xfId="0" applyFont="1" applyBorder="1" applyAlignment="1">
      <alignment vertical="center"/>
    </xf>
    <xf numFmtId="0" fontId="4" fillId="0" borderId="49" xfId="0" applyFont="1" applyBorder="1" applyAlignment="1">
      <alignment vertical="center"/>
    </xf>
    <xf numFmtId="0" fontId="4" fillId="0" borderId="44" xfId="0" applyFont="1" applyBorder="1" applyAlignment="1">
      <alignment vertical="center"/>
    </xf>
    <xf numFmtId="0" fontId="4" fillId="0" borderId="159" xfId="0" applyFont="1" applyBorder="1" applyAlignment="1">
      <alignment vertical="center"/>
    </xf>
    <xf numFmtId="0" fontId="4" fillId="0" borderId="69" xfId="0" applyFont="1" applyBorder="1" applyAlignment="1">
      <alignment vertical="center"/>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23" fillId="11" borderId="145" xfId="0" applyFont="1" applyFill="1" applyBorder="1" applyAlignment="1">
      <alignment vertical="center"/>
    </xf>
    <xf numFmtId="0" fontId="23" fillId="11" borderId="134" xfId="0" applyFont="1" applyFill="1" applyBorder="1" applyAlignment="1">
      <alignment vertical="center"/>
    </xf>
    <xf numFmtId="0" fontId="10" fillId="11" borderId="156"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73" xfId="0" applyFont="1" applyFill="1" applyBorder="1" applyAlignment="1">
      <alignment horizontal="center" vertical="center"/>
    </xf>
    <xf numFmtId="0" fontId="10" fillId="11" borderId="3" xfId="0" applyFont="1" applyFill="1" applyBorder="1" applyAlignment="1">
      <alignment horizontal="center" vertical="center"/>
    </xf>
    <xf numFmtId="0" fontId="4" fillId="0" borderId="11" xfId="0" applyFont="1" applyBorder="1" applyAlignment="1">
      <alignment vertical="center"/>
    </xf>
    <xf numFmtId="41" fontId="4" fillId="0" borderId="190" xfId="0" applyNumberFormat="1" applyFont="1" applyBorder="1" applyAlignment="1">
      <alignment vertical="center"/>
    </xf>
    <xf numFmtId="41" fontId="4" fillId="0" borderId="104" xfId="0" applyNumberFormat="1" applyFont="1" applyBorder="1" applyAlignment="1">
      <alignment vertical="center"/>
    </xf>
    <xf numFmtId="190" fontId="4" fillId="0" borderId="0" xfId="0" applyNumberFormat="1" applyFont="1"/>
    <xf numFmtId="0" fontId="23" fillId="13" borderId="4" xfId="0" applyFont="1" applyFill="1" applyBorder="1" applyAlignment="1">
      <alignment horizontal="center" vertical="center"/>
    </xf>
    <xf numFmtId="0" fontId="23" fillId="13" borderId="229" xfId="0" applyFont="1" applyFill="1" applyBorder="1" applyAlignment="1">
      <alignment horizontal="center" vertical="center"/>
    </xf>
    <xf numFmtId="0" fontId="23" fillId="13" borderId="3" xfId="0" applyFont="1" applyFill="1" applyBorder="1" applyAlignment="1">
      <alignment horizontal="center" vertical="center"/>
    </xf>
    <xf numFmtId="0" fontId="4" fillId="0" borderId="26" xfId="0" applyFont="1" applyBorder="1" applyAlignment="1">
      <alignment horizontal="center" vertical="center"/>
    </xf>
    <xf numFmtId="0" fontId="4" fillId="0" borderId="38" xfId="0" applyFont="1" applyBorder="1" applyAlignment="1">
      <alignment horizontal="center" vertical="center"/>
    </xf>
    <xf numFmtId="0" fontId="4" fillId="14" borderId="134" xfId="0" applyFont="1" applyFill="1" applyBorder="1" applyAlignment="1">
      <alignment vertical="center"/>
    </xf>
    <xf numFmtId="14" fontId="4" fillId="14" borderId="0" xfId="0" applyNumberFormat="1" applyFont="1" applyFill="1" applyAlignment="1">
      <alignment vertical="center"/>
    </xf>
    <xf numFmtId="0" fontId="4" fillId="14" borderId="48" xfId="0" applyFont="1" applyFill="1" applyBorder="1" applyAlignment="1">
      <alignment vertical="center"/>
    </xf>
    <xf numFmtId="0" fontId="12" fillId="0" borderId="0" xfId="0" applyFont="1" applyAlignment="1">
      <alignment vertical="center"/>
    </xf>
    <xf numFmtId="0" fontId="5" fillId="0" borderId="0" xfId="0" applyFont="1" applyAlignment="1">
      <alignment vertical="center"/>
    </xf>
    <xf numFmtId="0" fontId="24" fillId="0" borderId="0" xfId="0" applyFont="1" applyAlignment="1">
      <alignment vertical="center"/>
    </xf>
    <xf numFmtId="0" fontId="0" fillId="0" borderId="0" xfId="0" applyAlignment="1">
      <alignment vertical="center"/>
    </xf>
    <xf numFmtId="0" fontId="12" fillId="0" borderId="0" xfId="0" applyFont="1" applyAlignment="1">
      <alignment horizontal="right" vertical="center"/>
    </xf>
    <xf numFmtId="0" fontId="0" fillId="0" borderId="11" xfId="0" applyBorder="1"/>
    <xf numFmtId="0" fontId="12" fillId="0" borderId="0" xfId="0" applyFont="1"/>
    <xf numFmtId="0" fontId="0" fillId="0" borderId="0" xfId="0" applyAlignment="1">
      <alignment horizontal="right"/>
    </xf>
    <xf numFmtId="0" fontId="4" fillId="0" borderId="0" xfId="0" applyFont="1" applyAlignment="1">
      <alignment horizontal="left" vertical="center"/>
    </xf>
    <xf numFmtId="0" fontId="4" fillId="0" borderId="0" xfId="0" applyFont="1" applyAlignment="1">
      <alignment horizontal="left" vertical="top"/>
    </xf>
    <xf numFmtId="179" fontId="4" fillId="0" borderId="0" xfId="1" applyNumberFormat="1" applyFont="1" applyFill="1" applyBorder="1" applyAlignment="1" applyProtection="1">
      <alignment vertical="top"/>
    </xf>
    <xf numFmtId="0" fontId="4" fillId="0" borderId="0" xfId="0" applyFont="1" applyAlignment="1">
      <alignment vertical="top"/>
    </xf>
    <xf numFmtId="0" fontId="4" fillId="0" borderId="0" xfId="0" applyFont="1" applyAlignment="1">
      <alignment horizontal="left"/>
    </xf>
    <xf numFmtId="0" fontId="4" fillId="0" borderId="0" xfId="0" applyFont="1" applyAlignment="1">
      <alignment horizontal="left" vertical="center" indent="1"/>
    </xf>
    <xf numFmtId="0" fontId="0" fillId="0" borderId="0" xfId="0" applyAlignment="1">
      <alignment horizontal="right" vertical="center"/>
    </xf>
    <xf numFmtId="0" fontId="0" fillId="0" borderId="45" xfId="0" applyBorder="1" applyAlignment="1">
      <alignment vertical="center"/>
    </xf>
    <xf numFmtId="0" fontId="0" fillId="0" borderId="177" xfId="0" applyBorder="1" applyAlignment="1">
      <alignment vertical="center"/>
    </xf>
    <xf numFmtId="0" fontId="0" fillId="0" borderId="12" xfId="0" applyBorder="1" applyAlignment="1">
      <alignment vertical="center"/>
    </xf>
    <xf numFmtId="0" fontId="0" fillId="0" borderId="127" xfId="0" applyBorder="1" applyAlignment="1">
      <alignment vertical="center"/>
    </xf>
    <xf numFmtId="0" fontId="7" fillId="0" borderId="0" xfId="0" applyFont="1" applyAlignment="1">
      <alignment horizontal="left" vertical="center" indent="2"/>
    </xf>
    <xf numFmtId="0" fontId="12" fillId="2"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6" fillId="0" borderId="0" xfId="0" applyFont="1" applyAlignment="1">
      <alignment vertical="center"/>
    </xf>
    <xf numFmtId="0" fontId="15" fillId="4" borderId="82" xfId="0" applyFont="1" applyFill="1" applyBorder="1" applyAlignment="1">
      <alignment horizontal="right" vertical="center" wrapText="1"/>
    </xf>
    <xf numFmtId="12" fontId="15" fillId="4" borderId="174" xfId="0" applyNumberFormat="1" applyFont="1" applyFill="1" applyBorder="1" applyAlignment="1">
      <alignment horizontal="left" vertical="center"/>
    </xf>
    <xf numFmtId="0" fontId="15" fillId="4" borderId="84" xfId="0" applyFont="1" applyFill="1" applyBorder="1" applyAlignment="1">
      <alignment horizontal="right" vertical="center"/>
    </xf>
    <xf numFmtId="12" fontId="15" fillId="4" borderId="85" xfId="0" applyNumberFormat="1" applyFont="1" applyFill="1" applyBorder="1" applyAlignment="1">
      <alignment horizontal="left" vertical="center"/>
    </xf>
    <xf numFmtId="0" fontId="4" fillId="0" borderId="212" xfId="0" applyFont="1" applyBorder="1" applyAlignment="1">
      <alignment vertical="center"/>
    </xf>
    <xf numFmtId="179" fontId="0" fillId="0" borderId="211" xfId="1" applyNumberFormat="1" applyFont="1" applyBorder="1" applyAlignment="1" applyProtection="1">
      <alignment vertical="center"/>
    </xf>
    <xf numFmtId="179" fontId="0" fillId="0" borderId="211" xfId="0" applyNumberFormat="1" applyBorder="1" applyAlignment="1">
      <alignment horizontal="center" vertical="center"/>
    </xf>
    <xf numFmtId="0" fontId="0" fillId="0" borderId="45" xfId="0" applyBorder="1" applyAlignment="1">
      <alignment horizontal="left" vertical="center"/>
    </xf>
    <xf numFmtId="0" fontId="0" fillId="0" borderId="15" xfId="0" applyBorder="1" applyAlignment="1">
      <alignment vertical="center"/>
    </xf>
    <xf numFmtId="0" fontId="4" fillId="0" borderId="15" xfId="0" applyFont="1" applyBorder="1" applyAlignment="1">
      <alignment vertical="center" wrapText="1"/>
    </xf>
    <xf numFmtId="179" fontId="0" fillId="0" borderId="15" xfId="1" applyNumberFormat="1" applyFont="1" applyBorder="1" applyAlignment="1" applyProtection="1">
      <alignment vertical="center"/>
    </xf>
    <xf numFmtId="179" fontId="0" fillId="0" borderId="15" xfId="0" applyNumberFormat="1" applyBorder="1" applyAlignment="1">
      <alignment vertical="center"/>
    </xf>
    <xf numFmtId="0" fontId="0" fillId="0" borderId="114" xfId="0" applyBorder="1" applyAlignment="1">
      <alignment vertical="center"/>
    </xf>
    <xf numFmtId="0" fontId="0" fillId="0" borderId="31" xfId="0" applyBorder="1" applyAlignment="1">
      <alignment horizontal="left" vertical="center"/>
    </xf>
    <xf numFmtId="0" fontId="0" fillId="0" borderId="15" xfId="0" applyBorder="1" applyAlignment="1">
      <alignment horizontal="left" vertical="center"/>
    </xf>
    <xf numFmtId="0" fontId="4" fillId="0" borderId="170" xfId="0" applyFont="1" applyBorder="1" applyAlignment="1">
      <alignment vertical="center" wrapText="1"/>
    </xf>
    <xf numFmtId="179" fontId="0" fillId="0" borderId="33" xfId="1" applyNumberFormat="1" applyFont="1" applyBorder="1" applyAlignment="1" applyProtection="1">
      <alignment vertical="center"/>
    </xf>
    <xf numFmtId="179" fontId="0" fillId="0" borderId="32" xfId="0" applyNumberFormat="1" applyBorder="1" applyAlignment="1">
      <alignment horizontal="right" vertical="center"/>
    </xf>
    <xf numFmtId="0" fontId="4" fillId="0" borderId="213" xfId="0" applyFont="1" applyBorder="1" applyAlignment="1">
      <alignment vertical="center" wrapText="1"/>
    </xf>
    <xf numFmtId="179" fontId="0" fillId="0" borderId="127" xfId="1" applyNumberFormat="1" applyFont="1" applyBorder="1" applyAlignment="1" applyProtection="1">
      <alignment vertical="center"/>
    </xf>
    <xf numFmtId="179" fontId="0" fillId="0" borderId="50" xfId="0" applyNumberFormat="1" applyBorder="1" applyAlignment="1">
      <alignment vertical="center"/>
    </xf>
    <xf numFmtId="179" fontId="0" fillId="0" borderId="13" xfId="0" applyNumberFormat="1" applyBorder="1" applyAlignment="1">
      <alignment vertical="center"/>
    </xf>
    <xf numFmtId="179" fontId="0" fillId="0" borderId="250" xfId="1" applyNumberFormat="1" applyFont="1" applyBorder="1" applyAlignment="1" applyProtection="1">
      <alignment vertical="center"/>
    </xf>
    <xf numFmtId="179" fontId="0" fillId="0" borderId="251" xfId="0" applyNumberFormat="1" applyBorder="1" applyAlignment="1">
      <alignment vertical="center"/>
    </xf>
    <xf numFmtId="179" fontId="0" fillId="0" borderId="252" xfId="0" applyNumberFormat="1" applyBorder="1" applyAlignment="1">
      <alignment vertical="center"/>
    </xf>
    <xf numFmtId="0" fontId="0" fillId="0" borderId="50" xfId="0" applyBorder="1" applyAlignment="1">
      <alignment vertical="center"/>
    </xf>
    <xf numFmtId="179" fontId="0" fillId="0" borderId="255" xfId="1" applyNumberFormat="1" applyFont="1" applyBorder="1" applyAlignment="1" applyProtection="1">
      <alignment vertical="center"/>
    </xf>
    <xf numFmtId="179" fontId="0" fillId="0" borderId="256" xfId="0" applyNumberFormat="1" applyBorder="1" applyAlignment="1">
      <alignment vertical="center"/>
    </xf>
    <xf numFmtId="179" fontId="0" fillId="0" borderId="257" xfId="0" applyNumberFormat="1" applyBorder="1" applyAlignment="1">
      <alignment vertical="center"/>
    </xf>
    <xf numFmtId="0" fontId="0" fillId="0" borderId="47" xfId="0" applyBorder="1" applyAlignment="1">
      <alignment horizontal="left" vertical="center"/>
    </xf>
    <xf numFmtId="0" fontId="4" fillId="0" borderId="260" xfId="0" applyFont="1" applyBorder="1" applyAlignment="1">
      <alignment vertical="center" wrapText="1"/>
    </xf>
    <xf numFmtId="0" fontId="0" fillId="0" borderId="12" xfId="0" applyBorder="1" applyAlignment="1">
      <alignment horizontal="right" vertical="center"/>
    </xf>
    <xf numFmtId="0" fontId="0" fillId="0" borderId="11" xfId="0" applyBorder="1" applyAlignment="1">
      <alignment horizontal="right" vertical="center"/>
    </xf>
    <xf numFmtId="0" fontId="4" fillId="0" borderId="261" xfId="0" applyFont="1" applyBorder="1" applyAlignment="1">
      <alignment vertical="center" wrapText="1"/>
    </xf>
    <xf numFmtId="0" fontId="0" fillId="0" borderId="165" xfId="0" applyBorder="1" applyAlignment="1">
      <alignment vertical="center"/>
    </xf>
    <xf numFmtId="179" fontId="0" fillId="0" borderId="70" xfId="0" applyNumberFormat="1" applyBorder="1" applyAlignment="1">
      <alignment vertical="center"/>
    </xf>
    <xf numFmtId="179" fontId="0" fillId="0" borderId="46" xfId="0" applyNumberFormat="1" applyBorder="1" applyAlignment="1">
      <alignment vertical="center"/>
    </xf>
    <xf numFmtId="0" fontId="0" fillId="0" borderId="20" xfId="0" applyBorder="1" applyAlignment="1">
      <alignment vertical="center"/>
    </xf>
    <xf numFmtId="0" fontId="0" fillId="0" borderId="39" xfId="0" applyBorder="1" applyAlignment="1">
      <alignment vertical="center"/>
    </xf>
    <xf numFmtId="179" fontId="0" fillId="0" borderId="38" xfId="1" applyNumberFormat="1" applyFont="1" applyBorder="1" applyAlignment="1" applyProtection="1">
      <alignment horizontal="right" vertical="center" indent="1"/>
    </xf>
    <xf numFmtId="179" fontId="0" fillId="0" borderId="38" xfId="0" applyNumberFormat="1" applyBorder="1" applyAlignment="1">
      <alignment horizontal="right" vertical="center" indent="1"/>
    </xf>
    <xf numFmtId="179" fontId="0" fillId="0" borderId="68" xfId="0" applyNumberFormat="1" applyBorder="1" applyAlignment="1">
      <alignment vertical="center"/>
    </xf>
    <xf numFmtId="177" fontId="3" fillId="0" borderId="172" xfId="0" applyNumberFormat="1" applyFont="1" applyBorder="1" applyAlignment="1">
      <alignment vertical="center"/>
    </xf>
    <xf numFmtId="0" fontId="4" fillId="0" borderId="143" xfId="0" applyFont="1" applyBorder="1"/>
    <xf numFmtId="0" fontId="3" fillId="0" borderId="143" xfId="0" applyFont="1" applyBorder="1" applyAlignment="1">
      <alignment horizontal="center"/>
    </xf>
    <xf numFmtId="0" fontId="30" fillId="0" borderId="0" xfId="0" applyFont="1" applyAlignment="1">
      <alignment horizontal="right" vertical="center"/>
    </xf>
    <xf numFmtId="0" fontId="0" fillId="0" borderId="0" xfId="1" applyNumberFormat="1" applyFont="1" applyFill="1" applyBorder="1" applyAlignment="1" applyProtection="1">
      <alignment vertical="center"/>
    </xf>
    <xf numFmtId="0" fontId="15" fillId="4" borderId="190" xfId="0" applyFont="1" applyFill="1" applyBorder="1" applyAlignment="1">
      <alignment horizontal="center" vertical="center"/>
    </xf>
    <xf numFmtId="177" fontId="16" fillId="4" borderId="104" xfId="0" applyNumberFormat="1" applyFont="1" applyFill="1" applyBorder="1" applyAlignment="1">
      <alignment horizontal="center" vertical="center"/>
    </xf>
    <xf numFmtId="0" fontId="14" fillId="0" borderId="11" xfId="0" applyFont="1" applyBorder="1" applyAlignment="1">
      <alignment vertical="center"/>
    </xf>
    <xf numFmtId="179" fontId="0" fillId="5" borderId="10" xfId="0" applyNumberFormat="1" applyFill="1" applyBorder="1" applyAlignment="1">
      <alignment vertical="center"/>
    </xf>
    <xf numFmtId="179" fontId="1" fillId="0" borderId="50" xfId="1" applyNumberFormat="1" applyFont="1" applyBorder="1" applyAlignment="1" applyProtection="1">
      <alignment vertical="center"/>
    </xf>
    <xf numFmtId="182" fontId="0" fillId="0" borderId="50" xfId="0" applyNumberFormat="1" applyBorder="1" applyAlignment="1">
      <alignment vertical="center"/>
    </xf>
    <xf numFmtId="179" fontId="0" fillId="5" borderId="16" xfId="0" applyNumberFormat="1" applyFill="1" applyBorder="1" applyAlignment="1">
      <alignment vertical="center"/>
    </xf>
    <xf numFmtId="0" fontId="14" fillId="0" borderId="173" xfId="0" applyFont="1" applyBorder="1" applyAlignment="1">
      <alignment vertical="center"/>
    </xf>
    <xf numFmtId="38" fontId="14" fillId="0" borderId="175" xfId="1" applyFont="1" applyBorder="1" applyAlignment="1" applyProtection="1">
      <alignment vertical="center"/>
    </xf>
    <xf numFmtId="178" fontId="14" fillId="0" borderId="175" xfId="0" applyNumberFormat="1" applyFont="1" applyBorder="1" applyAlignment="1">
      <alignment vertical="center"/>
    </xf>
    <xf numFmtId="179" fontId="14" fillId="5" borderId="169" xfId="0" applyNumberFormat="1" applyFont="1" applyFill="1" applyBorder="1" applyAlignment="1">
      <alignment vertical="center"/>
    </xf>
    <xf numFmtId="179" fontId="3" fillId="5" borderId="172" xfId="1" applyNumberFormat="1" applyFont="1" applyFill="1" applyBorder="1" applyAlignment="1" applyProtection="1">
      <alignment vertical="center"/>
    </xf>
    <xf numFmtId="0" fontId="3" fillId="0" borderId="0" xfId="0" applyFont="1" applyAlignment="1">
      <alignment vertical="center"/>
    </xf>
    <xf numFmtId="0" fontId="21" fillId="0" borderId="0" xfId="0" applyFont="1" applyAlignment="1">
      <alignment vertical="center"/>
    </xf>
    <xf numFmtId="0" fontId="0" fillId="0" borderId="0" xfId="0" applyAlignment="1">
      <alignment vertical="center" wrapText="1"/>
    </xf>
    <xf numFmtId="0" fontId="0" fillId="0" borderId="0" xfId="1" applyNumberFormat="1" applyFont="1" applyBorder="1" applyAlignment="1" applyProtection="1">
      <alignment vertical="center"/>
    </xf>
    <xf numFmtId="0" fontId="0" fillId="0" borderId="48" xfId="0" applyBorder="1" applyAlignment="1">
      <alignment vertical="center"/>
    </xf>
    <xf numFmtId="0" fontId="4" fillId="0" borderId="170" xfId="0" applyFont="1" applyBorder="1" applyAlignment="1">
      <alignment vertical="center"/>
    </xf>
    <xf numFmtId="180" fontId="0" fillId="0" borderId="32" xfId="0" applyNumberFormat="1" applyBorder="1" applyAlignment="1">
      <alignment horizontal="right" vertical="center"/>
    </xf>
    <xf numFmtId="179" fontId="0" fillId="5" borderId="19" xfId="0" applyNumberFormat="1" applyFill="1" applyBorder="1" applyAlignment="1">
      <alignment vertical="center"/>
    </xf>
    <xf numFmtId="178" fontId="0" fillId="0" borderId="32" xfId="0" applyNumberFormat="1" applyBorder="1" applyAlignment="1">
      <alignment vertical="center"/>
    </xf>
    <xf numFmtId="0" fontId="0" fillId="0" borderId="214" xfId="0" applyBorder="1" applyAlignment="1">
      <alignment horizontal="left" vertical="center"/>
    </xf>
    <xf numFmtId="0" fontId="4" fillId="0" borderId="260" xfId="0" applyFont="1" applyBorder="1" applyAlignment="1">
      <alignment vertical="center"/>
    </xf>
    <xf numFmtId="178" fontId="0" fillId="0" borderId="251" xfId="0" applyNumberFormat="1" applyBorder="1" applyAlignment="1">
      <alignment vertical="center"/>
    </xf>
    <xf numFmtId="179" fontId="0" fillId="5" borderId="252" xfId="0" applyNumberFormat="1" applyFill="1" applyBorder="1" applyAlignment="1">
      <alignment vertical="center"/>
    </xf>
    <xf numFmtId="0" fontId="0" fillId="0" borderId="12" xfId="0" applyBorder="1" applyAlignment="1">
      <alignment horizontal="left" vertical="center"/>
    </xf>
    <xf numFmtId="0" fontId="0" fillId="0" borderId="215" xfId="0" applyBorder="1" applyAlignment="1">
      <alignment horizontal="left" vertical="center"/>
    </xf>
    <xf numFmtId="0" fontId="4" fillId="0" borderId="261" xfId="0" applyFont="1" applyBorder="1" applyAlignment="1">
      <alignment vertical="center"/>
    </xf>
    <xf numFmtId="178" fontId="0" fillId="0" borderId="256" xfId="0" applyNumberFormat="1" applyBorder="1" applyAlignment="1">
      <alignment vertical="center"/>
    </xf>
    <xf numFmtId="179" fontId="0" fillId="5" borderId="257" xfId="0" applyNumberFormat="1" applyFill="1" applyBorder="1" applyAlignment="1">
      <alignment vertical="center"/>
    </xf>
    <xf numFmtId="179" fontId="3" fillId="5" borderId="104" xfId="1" applyNumberFormat="1" applyFont="1" applyFill="1" applyBorder="1" applyAlignment="1" applyProtection="1">
      <alignment vertical="center"/>
    </xf>
    <xf numFmtId="0" fontId="9" fillId="0" borderId="0" xfId="0" applyFont="1" applyAlignment="1">
      <alignment vertical="center"/>
    </xf>
    <xf numFmtId="0" fontId="3" fillId="0" borderId="0" xfId="1" applyNumberFormat="1" applyFont="1" applyFill="1" applyBorder="1" applyAlignment="1" applyProtection="1">
      <alignment vertical="center"/>
    </xf>
    <xf numFmtId="0" fontId="0" fillId="0" borderId="165" xfId="0" applyBorder="1" applyAlignment="1">
      <alignment horizontal="left" vertical="center"/>
    </xf>
    <xf numFmtId="0" fontId="0" fillId="0" borderId="11" xfId="0" applyBorder="1" applyAlignment="1">
      <alignment horizontal="left" vertical="center"/>
    </xf>
    <xf numFmtId="179" fontId="4" fillId="2" borderId="0" xfId="1" applyNumberFormat="1" applyFont="1" applyFill="1" applyBorder="1" applyAlignment="1" applyProtection="1">
      <alignment vertical="center"/>
      <protection locked="0"/>
    </xf>
    <xf numFmtId="179" fontId="0" fillId="0" borderId="19" xfId="0" applyNumberFormat="1" applyBorder="1" applyAlignment="1">
      <alignment vertical="center"/>
    </xf>
    <xf numFmtId="0" fontId="14" fillId="0" borderId="0" xfId="0" applyFont="1" applyAlignment="1">
      <alignment vertical="center"/>
    </xf>
    <xf numFmtId="0" fontId="14" fillId="0" borderId="84" xfId="0" applyFont="1" applyBorder="1" applyAlignment="1">
      <alignment vertical="center"/>
    </xf>
    <xf numFmtId="0" fontId="10" fillId="11" borderId="72" xfId="0" applyFont="1" applyFill="1" applyBorder="1" applyAlignment="1">
      <alignment horizontal="center" vertical="center"/>
    </xf>
    <xf numFmtId="0" fontId="10" fillId="11" borderId="157" xfId="0" applyFont="1" applyFill="1" applyBorder="1" applyAlignment="1">
      <alignment horizontal="center" vertical="center"/>
    </xf>
    <xf numFmtId="0" fontId="0" fillId="0" borderId="11" xfId="0" applyBorder="1" applyAlignment="1">
      <alignment horizontal="center"/>
    </xf>
    <xf numFmtId="0" fontId="4" fillId="0" borderId="0" xfId="0" applyFont="1" applyAlignment="1">
      <alignment horizontal="right" vertical="center"/>
    </xf>
    <xf numFmtId="14" fontId="4" fillId="0" borderId="0" xfId="0" applyNumberFormat="1" applyFont="1" applyAlignment="1">
      <alignment vertical="center"/>
    </xf>
    <xf numFmtId="0" fontId="5" fillId="0" borderId="87" xfId="0" applyFont="1" applyBorder="1" applyAlignment="1">
      <alignment vertical="center"/>
    </xf>
    <xf numFmtId="0" fontId="4" fillId="0" borderId="14" xfId="0" applyFont="1" applyBorder="1" applyAlignment="1">
      <alignment horizontal="center" vertical="center"/>
    </xf>
    <xf numFmtId="0" fontId="4" fillId="0" borderId="52" xfId="1" applyNumberFormat="1" applyFont="1" applyFill="1" applyBorder="1" applyAlignment="1" applyProtection="1">
      <alignment horizontal="center" vertical="center"/>
    </xf>
    <xf numFmtId="41" fontId="4" fillId="0" borderId="88" xfId="0" applyNumberFormat="1" applyFont="1" applyBorder="1" applyAlignment="1">
      <alignment vertical="center"/>
    </xf>
    <xf numFmtId="0" fontId="4" fillId="0" borderId="89" xfId="0" applyFont="1" applyBorder="1" applyAlignment="1">
      <alignment vertical="center"/>
    </xf>
    <xf numFmtId="184" fontId="4" fillId="0" borderId="63" xfId="0" applyNumberFormat="1" applyFont="1" applyBorder="1" applyAlignment="1">
      <alignment vertical="center"/>
    </xf>
    <xf numFmtId="0" fontId="4" fillId="0" borderId="90" xfId="1" applyNumberFormat="1" applyFont="1" applyFill="1" applyBorder="1" applyAlignment="1" applyProtection="1">
      <alignment horizontal="center" vertical="center"/>
    </xf>
    <xf numFmtId="0" fontId="4" fillId="0" borderId="91" xfId="0" applyFont="1" applyBorder="1" applyAlignment="1">
      <alignment vertical="center"/>
    </xf>
    <xf numFmtId="0" fontId="4" fillId="0" borderId="92"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184" fontId="4" fillId="0" borderId="94" xfId="0" applyNumberFormat="1" applyFont="1" applyBorder="1" applyAlignment="1">
      <alignment vertical="center"/>
    </xf>
    <xf numFmtId="0" fontId="4" fillId="0" borderId="95" xfId="1" applyNumberFormat="1" applyFont="1" applyFill="1" applyBorder="1" applyAlignment="1" applyProtection="1">
      <alignment horizontal="center" vertical="center"/>
    </xf>
    <xf numFmtId="0" fontId="4" fillId="0" borderId="96" xfId="0" applyFont="1" applyBorder="1" applyAlignment="1">
      <alignment vertical="center"/>
    </xf>
    <xf numFmtId="0" fontId="4" fillId="0" borderId="97" xfId="0" applyFont="1" applyBorder="1" applyAlignment="1">
      <alignment vertical="center"/>
    </xf>
    <xf numFmtId="0" fontId="4" fillId="0" borderId="98" xfId="0" applyFont="1" applyBorder="1" applyAlignment="1">
      <alignment vertical="center"/>
    </xf>
    <xf numFmtId="0" fontId="4" fillId="0" borderId="99" xfId="0" applyFont="1" applyBorder="1" applyAlignment="1">
      <alignment vertical="center"/>
    </xf>
    <xf numFmtId="184" fontId="4" fillId="0" borderId="99" xfId="0" applyNumberFormat="1" applyFont="1" applyBorder="1" applyAlignment="1">
      <alignment vertical="center"/>
    </xf>
    <xf numFmtId="0" fontId="10" fillId="4" borderId="100" xfId="1" applyNumberFormat="1" applyFont="1" applyFill="1" applyBorder="1" applyAlignment="1" applyProtection="1">
      <alignment horizontal="center" vertical="center"/>
    </xf>
    <xf numFmtId="41" fontId="10" fillId="4" borderId="41" xfId="0" applyNumberFormat="1" applyFont="1" applyFill="1" applyBorder="1" applyAlignment="1">
      <alignment horizontal="center" vertical="center"/>
    </xf>
    <xf numFmtId="41" fontId="10" fillId="4" borderId="101" xfId="0" applyNumberFormat="1" applyFont="1" applyFill="1" applyBorder="1" applyAlignment="1">
      <alignment horizontal="center" vertical="center"/>
    </xf>
    <xf numFmtId="41" fontId="10" fillId="4" borderId="102" xfId="0" applyNumberFormat="1" applyFont="1" applyFill="1" applyBorder="1" applyAlignment="1">
      <alignment horizontal="center" vertical="center"/>
    </xf>
    <xf numFmtId="41" fontId="10" fillId="4" borderId="103" xfId="0" applyNumberFormat="1" applyFont="1" applyFill="1" applyBorder="1" applyAlignment="1">
      <alignment horizontal="center" vertical="center"/>
    </xf>
    <xf numFmtId="0" fontId="4" fillId="0" borderId="104" xfId="0" applyFont="1" applyBorder="1" applyAlignment="1">
      <alignment horizontal="center" vertical="center"/>
    </xf>
    <xf numFmtId="0" fontId="4" fillId="0" borderId="47" xfId="0" applyFont="1" applyBorder="1" applyAlignment="1">
      <alignment vertical="center"/>
    </xf>
    <xf numFmtId="0" fontId="4" fillId="0" borderId="106" xfId="0" applyFont="1" applyBorder="1" applyAlignment="1">
      <alignment horizontal="right" vertical="center" indent="1"/>
    </xf>
    <xf numFmtId="0" fontId="4" fillId="0" borderId="106" xfId="0" applyFont="1" applyBorder="1" applyAlignment="1">
      <alignment vertical="center"/>
    </xf>
    <xf numFmtId="179" fontId="4" fillId="5" borderId="107" xfId="1" applyNumberFormat="1" applyFont="1" applyFill="1" applyBorder="1" applyAlignment="1" applyProtection="1">
      <alignment horizontal="right" vertical="center"/>
    </xf>
    <xf numFmtId="179" fontId="4" fillId="0" borderId="106" xfId="0" applyNumberFormat="1" applyFont="1" applyBorder="1" applyAlignment="1">
      <alignment horizontal="right" vertical="center"/>
    </xf>
    <xf numFmtId="179" fontId="4" fillId="0" borderId="112" xfId="0" applyNumberFormat="1" applyFont="1" applyBorder="1" applyAlignment="1">
      <alignment horizontal="right" vertical="center"/>
    </xf>
    <xf numFmtId="179" fontId="4" fillId="0" borderId="105" xfId="0" applyNumberFormat="1" applyFont="1" applyBorder="1" applyAlignment="1">
      <alignment horizontal="right" vertical="center"/>
    </xf>
    <xf numFmtId="179" fontId="4" fillId="0" borderId="113" xfId="0" applyNumberFormat="1" applyFont="1" applyBorder="1" applyAlignment="1">
      <alignment horizontal="right" vertical="center"/>
    </xf>
    <xf numFmtId="179" fontId="4" fillId="0" borderId="107" xfId="1" applyNumberFormat="1" applyFont="1" applyFill="1" applyBorder="1" applyAlignment="1" applyProtection="1">
      <alignment horizontal="right" vertical="center"/>
    </xf>
    <xf numFmtId="0" fontId="4" fillId="0" borderId="114" xfId="0" applyFont="1" applyBorder="1" applyAlignment="1">
      <alignment vertical="center"/>
    </xf>
    <xf numFmtId="0" fontId="7" fillId="0" borderId="231" xfId="0" applyFont="1" applyBorder="1" applyAlignment="1">
      <alignment vertical="center" wrapText="1"/>
    </xf>
    <xf numFmtId="179" fontId="4" fillId="5" borderId="232" xfId="0" applyNumberFormat="1" applyFont="1" applyFill="1" applyBorder="1" applyAlignment="1">
      <alignment horizontal="right" vertical="center"/>
    </xf>
    <xf numFmtId="184" fontId="4" fillId="0" borderId="233" xfId="1" applyNumberFormat="1" applyFont="1" applyBorder="1" applyAlignment="1" applyProtection="1">
      <alignment horizontal="right" vertical="center"/>
    </xf>
    <xf numFmtId="179" fontId="4" fillId="0" borderId="234" xfId="1" applyNumberFormat="1" applyFont="1" applyBorder="1" applyAlignment="1" applyProtection="1">
      <alignment horizontal="right" vertical="center"/>
    </xf>
    <xf numFmtId="184" fontId="4" fillId="0" borderId="235" xfId="1" applyNumberFormat="1" applyFont="1" applyBorder="1" applyAlignment="1" applyProtection="1">
      <alignment horizontal="right" vertical="center"/>
    </xf>
    <xf numFmtId="184" fontId="4" fillId="0" borderId="235" xfId="0" applyNumberFormat="1" applyFont="1" applyBorder="1" applyAlignment="1">
      <alignment horizontal="right" vertical="center"/>
    </xf>
    <xf numFmtId="179" fontId="4" fillId="0" borderId="236" xfId="0" applyNumberFormat="1" applyFont="1" applyBorder="1" applyAlignment="1">
      <alignment horizontal="right" vertical="center"/>
    </xf>
    <xf numFmtId="179" fontId="4" fillId="0" borderId="232" xfId="0" applyNumberFormat="1" applyFont="1" applyBorder="1" applyAlignment="1">
      <alignment horizontal="right" vertical="center"/>
    </xf>
    <xf numFmtId="0" fontId="4" fillId="0" borderId="105" xfId="0" applyFont="1" applyBorder="1" applyAlignment="1">
      <alignment vertical="top"/>
    </xf>
    <xf numFmtId="0" fontId="7" fillId="0" borderId="237" xfId="0" applyFont="1" applyBorder="1" applyAlignment="1">
      <alignment vertical="center" wrapText="1"/>
    </xf>
    <xf numFmtId="179" fontId="4" fillId="5" borderId="238" xfId="0" applyNumberFormat="1" applyFont="1" applyFill="1" applyBorder="1" applyAlignment="1">
      <alignment horizontal="right" vertical="center"/>
    </xf>
    <xf numFmtId="184" fontId="4" fillId="0" borderId="239" xfId="1" applyNumberFormat="1" applyFont="1" applyBorder="1" applyAlignment="1" applyProtection="1">
      <alignment horizontal="right" vertical="center"/>
    </xf>
    <xf numFmtId="179" fontId="4" fillId="0" borderId="240" xfId="1" applyNumberFormat="1" applyFont="1" applyBorder="1" applyAlignment="1" applyProtection="1">
      <alignment horizontal="right" vertical="center"/>
    </xf>
    <xf numFmtId="179" fontId="4" fillId="0" borderId="238" xfId="0" applyNumberFormat="1" applyFont="1" applyBorder="1" applyAlignment="1">
      <alignment horizontal="right" vertical="center"/>
    </xf>
    <xf numFmtId="0" fontId="4" fillId="0" borderId="128" xfId="0" applyFont="1" applyBorder="1" applyAlignment="1">
      <alignment vertical="center"/>
    </xf>
    <xf numFmtId="0" fontId="7" fillId="0" borderId="235" xfId="0" applyFont="1" applyBorder="1" applyAlignment="1">
      <alignment vertical="center"/>
    </xf>
    <xf numFmtId="184" fontId="4" fillId="0" borderId="241" xfId="1" applyNumberFormat="1" applyFont="1" applyBorder="1" applyAlignment="1" applyProtection="1">
      <alignment horizontal="right" vertical="center"/>
    </xf>
    <xf numFmtId="184" fontId="4" fillId="0" borderId="242" xfId="1" applyNumberFormat="1" applyFont="1" applyBorder="1" applyAlignment="1" applyProtection="1">
      <alignment horizontal="right" vertical="center"/>
    </xf>
    <xf numFmtId="184" fontId="0" fillId="0" borderId="0" xfId="0" applyNumberFormat="1" applyAlignment="1">
      <alignment vertical="center"/>
    </xf>
    <xf numFmtId="0" fontId="7" fillId="0" borderId="243" xfId="0" applyFont="1" applyBorder="1" applyAlignment="1">
      <alignment vertical="center"/>
    </xf>
    <xf numFmtId="184" fontId="4" fillId="0" borderId="244" xfId="1" applyNumberFormat="1" applyFont="1" applyBorder="1" applyAlignment="1" applyProtection="1">
      <alignment horizontal="right" vertical="center"/>
    </xf>
    <xf numFmtId="184" fontId="4" fillId="0" borderId="245" xfId="1" applyNumberFormat="1" applyFont="1" applyBorder="1" applyAlignment="1" applyProtection="1">
      <alignment horizontal="right" vertical="center"/>
    </xf>
    <xf numFmtId="0" fontId="4" fillId="0" borderId="121" xfId="0" applyFont="1" applyBorder="1" applyAlignment="1">
      <alignment vertical="center"/>
    </xf>
    <xf numFmtId="0" fontId="4" fillId="0" borderId="122" xfId="0" applyFont="1" applyBorder="1" applyAlignment="1">
      <alignment vertical="center"/>
    </xf>
    <xf numFmtId="0" fontId="7" fillId="0" borderId="133" xfId="0" applyFont="1" applyBorder="1" applyAlignment="1">
      <alignment vertical="center" wrapText="1"/>
    </xf>
    <xf numFmtId="179" fontId="4" fillId="5" borderId="123" xfId="1" applyNumberFormat="1" applyFont="1" applyFill="1" applyBorder="1" applyAlignment="1" applyProtection="1">
      <alignment horizontal="right" vertical="center"/>
    </xf>
    <xf numFmtId="184" fontId="4" fillId="0" borderId="121" xfId="0" applyNumberFormat="1" applyFont="1" applyBorder="1" applyAlignment="1">
      <alignment horizontal="right" vertical="center"/>
    </xf>
    <xf numFmtId="179" fontId="4" fillId="0" borderId="124" xfId="0" applyNumberFormat="1" applyFont="1" applyBorder="1" applyAlignment="1">
      <alignment horizontal="right" vertical="center"/>
    </xf>
    <xf numFmtId="179" fontId="4" fillId="0" borderId="125" xfId="0" applyNumberFormat="1" applyFont="1" applyBorder="1" applyAlignment="1">
      <alignment horizontal="right" vertical="center"/>
    </xf>
    <xf numFmtId="179" fontId="4" fillId="0" borderId="123" xfId="0" applyNumberFormat="1" applyFont="1" applyBorder="1" applyAlignment="1">
      <alignment horizontal="right" vertical="center"/>
    </xf>
    <xf numFmtId="179" fontId="4" fillId="15" borderId="134" xfId="1" applyNumberFormat="1" applyFont="1" applyFill="1" applyBorder="1" applyAlignment="1" applyProtection="1">
      <alignment horizontal="right" vertical="center"/>
    </xf>
    <xf numFmtId="179" fontId="4" fillId="15" borderId="0" xfId="1" applyNumberFormat="1" applyFont="1" applyFill="1" applyBorder="1" applyAlignment="1" applyProtection="1">
      <alignment horizontal="right" vertical="center"/>
    </xf>
    <xf numFmtId="179" fontId="4" fillId="15" borderId="135" xfId="1" applyNumberFormat="1" applyFont="1" applyFill="1" applyBorder="1" applyAlignment="1" applyProtection="1">
      <alignment horizontal="right" vertical="center"/>
    </xf>
    <xf numFmtId="179" fontId="4" fillId="15" borderId="47" xfId="1" applyNumberFormat="1" applyFont="1" applyFill="1" applyBorder="1" applyAlignment="1" applyProtection="1">
      <alignment horizontal="right" vertical="center"/>
    </xf>
    <xf numFmtId="179" fontId="4" fillId="15" borderId="47" xfId="0" applyNumberFormat="1" applyFont="1" applyFill="1" applyBorder="1" applyAlignment="1">
      <alignment horizontal="right" vertical="center"/>
    </xf>
    <xf numFmtId="179" fontId="4" fillId="15" borderId="48" xfId="0" applyNumberFormat="1" applyFont="1" applyFill="1" applyBorder="1" applyAlignment="1">
      <alignment horizontal="right" vertical="center"/>
    </xf>
    <xf numFmtId="179" fontId="4" fillId="0" borderId="134" xfId="1" applyNumberFormat="1" applyFont="1" applyFill="1" applyBorder="1" applyAlignment="1" applyProtection="1">
      <alignment horizontal="right" vertical="center"/>
    </xf>
    <xf numFmtId="0" fontId="4" fillId="0" borderId="222" xfId="0" applyFont="1" applyBorder="1" applyAlignment="1">
      <alignment vertical="center"/>
    </xf>
    <xf numFmtId="0" fontId="4" fillId="0" borderId="223" xfId="0" applyFont="1" applyBorder="1" applyAlignment="1">
      <alignment vertical="center"/>
    </xf>
    <xf numFmtId="0" fontId="7" fillId="0" borderId="162" xfId="0" applyFont="1" applyBorder="1" applyAlignment="1">
      <alignment vertical="center"/>
    </xf>
    <xf numFmtId="179" fontId="4" fillId="5" borderId="145" xfId="0" applyNumberFormat="1" applyFont="1" applyFill="1" applyBorder="1" applyAlignment="1">
      <alignment horizontal="right" vertical="center"/>
    </xf>
    <xf numFmtId="179" fontId="4" fillId="0" borderId="143" xfId="0" applyNumberFormat="1" applyFont="1" applyBorder="1" applyAlignment="1">
      <alignment horizontal="right" vertical="center"/>
    </xf>
    <xf numFmtId="179" fontId="4" fillId="0" borderId="161" xfId="0" applyNumberFormat="1" applyFont="1" applyBorder="1" applyAlignment="1">
      <alignment horizontal="right" vertical="center"/>
    </xf>
    <xf numFmtId="179" fontId="4" fillId="0" borderId="230" xfId="0" applyNumberFormat="1" applyFont="1" applyBorder="1" applyAlignment="1">
      <alignment horizontal="right" vertical="center"/>
    </xf>
    <xf numFmtId="179" fontId="4" fillId="0" borderId="145" xfId="1" applyNumberFormat="1" applyFont="1" applyFill="1" applyBorder="1" applyAlignment="1" applyProtection="1">
      <alignment horizontal="right" vertical="center"/>
    </xf>
    <xf numFmtId="179" fontId="4" fillId="5" borderId="232" xfId="1" applyNumberFormat="1" applyFont="1" applyFill="1" applyBorder="1" applyAlignment="1" applyProtection="1">
      <alignment horizontal="right" vertical="center"/>
    </xf>
    <xf numFmtId="184" fontId="4" fillId="0" borderId="246" xfId="0" applyNumberFormat="1" applyFont="1" applyBorder="1" applyAlignment="1">
      <alignment horizontal="right" vertical="center"/>
    </xf>
    <xf numFmtId="179" fontId="4" fillId="0" borderId="247" xfId="0" applyNumberFormat="1" applyFont="1" applyBorder="1" applyAlignment="1">
      <alignment horizontal="right" vertical="center"/>
    </xf>
    <xf numFmtId="179" fontId="4" fillId="0" borderId="234" xfId="0" applyNumberFormat="1" applyFont="1" applyBorder="1" applyAlignment="1">
      <alignment horizontal="right" vertical="center"/>
    </xf>
    <xf numFmtId="184" fontId="4" fillId="0" borderId="242" xfId="0" applyNumberFormat="1" applyFont="1" applyBorder="1" applyAlignment="1">
      <alignment horizontal="right" vertical="center"/>
    </xf>
    <xf numFmtId="179" fontId="4" fillId="0" borderId="232" xfId="1" applyNumberFormat="1" applyFont="1" applyFill="1" applyBorder="1" applyAlignment="1" applyProtection="1">
      <alignment horizontal="right" vertical="center"/>
    </xf>
    <xf numFmtId="179" fontId="4" fillId="5" borderId="238" xfId="1" applyNumberFormat="1" applyFont="1" applyFill="1" applyBorder="1" applyAlignment="1" applyProtection="1">
      <alignment horizontal="right" vertical="center"/>
    </xf>
    <xf numFmtId="184" fontId="4" fillId="0" borderId="248" xfId="0" applyNumberFormat="1" applyFont="1" applyBorder="1" applyAlignment="1">
      <alignment horizontal="right" vertical="center"/>
    </xf>
    <xf numFmtId="179" fontId="4" fillId="0" borderId="249" xfId="0" applyNumberFormat="1" applyFont="1" applyBorder="1" applyAlignment="1">
      <alignment horizontal="right" vertical="center"/>
    </xf>
    <xf numFmtId="184" fontId="4" fillId="0" borderId="243" xfId="0" applyNumberFormat="1" applyFont="1" applyBorder="1" applyAlignment="1">
      <alignment horizontal="right" vertical="center"/>
    </xf>
    <xf numFmtId="179" fontId="4" fillId="0" borderId="240" xfId="0" applyNumberFormat="1" applyFont="1" applyBorder="1" applyAlignment="1">
      <alignment horizontal="right" vertical="center"/>
    </xf>
    <xf numFmtId="184" fontId="4" fillId="0" borderId="245" xfId="0" applyNumberFormat="1" applyFont="1" applyBorder="1" applyAlignment="1">
      <alignment horizontal="right" vertical="center"/>
    </xf>
    <xf numFmtId="179" fontId="4" fillId="0" borderId="238" xfId="1" applyNumberFormat="1" applyFont="1" applyFill="1" applyBorder="1" applyAlignment="1" applyProtection="1">
      <alignment horizontal="right" vertical="center"/>
    </xf>
    <xf numFmtId="0" fontId="4" fillId="0" borderId="116" xfId="0" applyFont="1" applyBorder="1" applyAlignment="1">
      <alignment horizontal="left" vertical="center"/>
    </xf>
    <xf numFmtId="0" fontId="7" fillId="0" borderId="0" xfId="0" applyFont="1" applyAlignment="1">
      <alignment vertical="center"/>
    </xf>
    <xf numFmtId="179" fontId="4" fillId="5" borderId="111" xfId="1" applyNumberFormat="1" applyFont="1" applyFill="1" applyBorder="1" applyAlignment="1" applyProtection="1">
      <alignment horizontal="right" vertical="center"/>
    </xf>
    <xf numFmtId="184" fontId="4" fillId="0" borderId="118" xfId="0" applyNumberFormat="1" applyFont="1" applyBorder="1" applyAlignment="1">
      <alignment horizontal="right" vertical="center"/>
    </xf>
    <xf numFmtId="179" fontId="4" fillId="0" borderId="119" xfId="0" applyNumberFormat="1" applyFont="1" applyBorder="1" applyAlignment="1">
      <alignment horizontal="right" vertical="center"/>
    </xf>
    <xf numFmtId="184" fontId="4" fillId="0" borderId="116" xfId="0" applyNumberFormat="1" applyFont="1" applyBorder="1" applyAlignment="1">
      <alignment horizontal="right" vertical="center"/>
    </xf>
    <xf numFmtId="179" fontId="4" fillId="0" borderId="111" xfId="1" applyNumberFormat="1" applyFont="1" applyFill="1" applyBorder="1" applyAlignment="1" applyProtection="1">
      <alignment horizontal="right" vertical="center"/>
    </xf>
    <xf numFmtId="0" fontId="4" fillId="0" borderId="116" xfId="0" applyFont="1" applyBorder="1" applyAlignment="1">
      <alignment vertical="center"/>
    </xf>
    <xf numFmtId="0" fontId="4" fillId="0" borderId="110" xfId="0" applyFont="1" applyBorder="1" applyAlignment="1">
      <alignment vertical="center"/>
    </xf>
    <xf numFmtId="0" fontId="7" fillId="0" borderId="110" xfId="0" applyFont="1" applyBorder="1" applyAlignment="1">
      <alignment vertical="center"/>
    </xf>
    <xf numFmtId="179" fontId="4" fillId="0" borderId="120" xfId="0" applyNumberFormat="1" applyFont="1" applyBorder="1" applyAlignment="1">
      <alignment horizontal="right" vertical="center"/>
    </xf>
    <xf numFmtId="0" fontId="4" fillId="0" borderId="84" xfId="0" applyFont="1" applyBorder="1" applyAlignment="1">
      <alignment vertical="center"/>
    </xf>
    <xf numFmtId="179" fontId="4" fillId="0" borderId="140" xfId="1" applyNumberFormat="1" applyFont="1" applyFill="1" applyBorder="1" applyAlignment="1" applyProtection="1">
      <alignment horizontal="right" vertical="center"/>
    </xf>
    <xf numFmtId="179" fontId="4" fillId="5" borderId="134" xfId="1" applyNumberFormat="1" applyFont="1" applyFill="1" applyBorder="1" applyAlignment="1" applyProtection="1">
      <alignment horizontal="right" vertical="center"/>
    </xf>
    <xf numFmtId="0" fontId="4" fillId="0" borderId="115" xfId="0" applyFont="1" applyBorder="1" applyAlignment="1">
      <alignment vertical="center"/>
    </xf>
    <xf numFmtId="0" fontId="4" fillId="0" borderId="130" xfId="0" applyFont="1" applyBorder="1" applyAlignment="1">
      <alignment vertical="center"/>
    </xf>
    <xf numFmtId="0" fontId="7" fillId="0" borderId="130" xfId="0" applyFont="1" applyBorder="1" applyAlignment="1">
      <alignment vertical="center"/>
    </xf>
    <xf numFmtId="179" fontId="4" fillId="5" borderId="129" xfId="1" applyNumberFormat="1" applyFont="1" applyFill="1" applyBorder="1" applyAlignment="1" applyProtection="1">
      <alignment horizontal="right" vertical="center"/>
    </xf>
    <xf numFmtId="179" fontId="4" fillId="0" borderId="130" xfId="0" applyNumberFormat="1" applyFont="1" applyBorder="1" applyAlignment="1">
      <alignment horizontal="right" vertical="center"/>
    </xf>
    <xf numFmtId="179" fontId="4" fillId="0" borderId="131" xfId="0" applyNumberFormat="1" applyFont="1" applyBorder="1" applyAlignment="1">
      <alignment horizontal="right" vertical="center"/>
    </xf>
    <xf numFmtId="179" fontId="4" fillId="0" borderId="115" xfId="0" applyNumberFormat="1" applyFont="1" applyBorder="1" applyAlignment="1">
      <alignment horizontal="right" vertical="center"/>
    </xf>
    <xf numFmtId="179" fontId="4" fillId="0" borderId="132" xfId="0" applyNumberFormat="1" applyFont="1" applyBorder="1" applyAlignment="1">
      <alignment horizontal="right" vertical="center"/>
    </xf>
    <xf numFmtId="179" fontId="4" fillId="0" borderId="129" xfId="1" applyNumberFormat="1" applyFont="1" applyFill="1" applyBorder="1" applyAlignment="1" applyProtection="1">
      <alignment horizontal="right" vertical="center"/>
    </xf>
    <xf numFmtId="179" fontId="4" fillId="15" borderId="136" xfId="1" applyNumberFormat="1" applyFont="1" applyFill="1" applyBorder="1" applyAlignment="1" applyProtection="1">
      <alignment horizontal="right" vertical="center"/>
    </xf>
    <xf numFmtId="179" fontId="4" fillId="0" borderId="136" xfId="1" applyNumberFormat="1" applyFont="1" applyFill="1" applyBorder="1" applyAlignment="1" applyProtection="1">
      <alignment horizontal="right" vertical="center"/>
    </xf>
    <xf numFmtId="179" fontId="5" fillId="6" borderId="140" xfId="1" applyNumberFormat="1" applyFont="1" applyFill="1" applyBorder="1" applyAlignment="1" applyProtection="1">
      <alignment horizontal="right" vertical="center"/>
    </xf>
    <xf numFmtId="179" fontId="8" fillId="0" borderId="141" xfId="1" applyNumberFormat="1" applyFont="1" applyFill="1" applyBorder="1" applyAlignment="1" applyProtection="1">
      <alignment horizontal="right" vertical="center"/>
    </xf>
    <xf numFmtId="179" fontId="5" fillId="0" borderId="0" xfId="1" applyNumberFormat="1" applyFont="1" applyFill="1" applyBorder="1" applyAlignment="1" applyProtection="1">
      <alignment horizontal="right" vertical="center"/>
    </xf>
    <xf numFmtId="41" fontId="4" fillId="0" borderId="0" xfId="1" applyNumberFormat="1" applyFont="1" applyAlignment="1" applyProtection="1">
      <alignment vertical="center"/>
    </xf>
    <xf numFmtId="0" fontId="9" fillId="0" borderId="0" xfId="1" applyNumberFormat="1" applyFont="1" applyFill="1" applyBorder="1" applyAlignment="1" applyProtection="1">
      <alignment vertical="center"/>
    </xf>
    <xf numFmtId="0" fontId="0" fillId="0" borderId="0" xfId="1" applyNumberFormat="1" applyFont="1" applyAlignment="1" applyProtection="1">
      <alignment vertical="center"/>
    </xf>
    <xf numFmtId="0" fontId="1" fillId="0" borderId="0" xfId="0" applyFont="1" applyAlignment="1">
      <alignment vertical="center"/>
    </xf>
    <xf numFmtId="41" fontId="4" fillId="0" borderId="0" xfId="0" applyNumberFormat="1" applyFont="1" applyAlignment="1">
      <alignment vertical="center"/>
    </xf>
    <xf numFmtId="0" fontId="4" fillId="0" borderId="142" xfId="0" applyFont="1" applyBorder="1" applyAlignment="1">
      <alignment vertical="center"/>
    </xf>
    <xf numFmtId="0" fontId="4" fillId="0" borderId="143" xfId="0" applyFont="1" applyBorder="1" applyAlignment="1">
      <alignment vertical="center"/>
    </xf>
    <xf numFmtId="0" fontId="4" fillId="0" borderId="144" xfId="0" applyFont="1" applyBorder="1" applyAlignment="1">
      <alignment vertical="center"/>
    </xf>
    <xf numFmtId="0" fontId="4" fillId="0" borderId="145" xfId="0" applyFont="1" applyBorder="1" applyAlignment="1">
      <alignment vertical="center"/>
    </xf>
    <xf numFmtId="41" fontId="4" fillId="0" borderId="146" xfId="1" applyNumberFormat="1" applyFont="1" applyFill="1" applyBorder="1" applyAlignment="1" applyProtection="1">
      <alignment vertical="center"/>
    </xf>
    <xf numFmtId="41" fontId="4" fillId="0" borderId="147" xfId="1" applyNumberFormat="1" applyFont="1" applyFill="1" applyBorder="1" applyAlignment="1" applyProtection="1">
      <alignment vertical="center"/>
    </xf>
    <xf numFmtId="41" fontId="4" fillId="0" borderId="147" xfId="0" applyNumberFormat="1" applyFont="1" applyBorder="1" applyAlignment="1">
      <alignment vertical="center"/>
    </xf>
    <xf numFmtId="41" fontId="4" fillId="0" borderId="148" xfId="0" applyNumberFormat="1" applyFont="1" applyBorder="1" applyAlignment="1">
      <alignment vertical="center"/>
    </xf>
    <xf numFmtId="0" fontId="4" fillId="0" borderId="43" xfId="0" applyFont="1" applyBorder="1" applyAlignment="1">
      <alignment vertical="center"/>
    </xf>
    <xf numFmtId="0" fontId="4" fillId="0" borderId="48" xfId="0" applyFont="1" applyBorder="1" applyAlignment="1">
      <alignment vertical="center"/>
    </xf>
    <xf numFmtId="0" fontId="4" fillId="0" borderId="134" xfId="0" applyFont="1" applyBorder="1" applyAlignment="1">
      <alignment horizontal="center" vertical="center"/>
    </xf>
    <xf numFmtId="186" fontId="4" fillId="0" borderId="43" xfId="0" applyNumberFormat="1" applyFont="1" applyBorder="1" applyAlignment="1">
      <alignment vertical="center"/>
    </xf>
    <xf numFmtId="188" fontId="4" fillId="0" borderId="135" xfId="0" applyNumberFormat="1" applyFont="1" applyBorder="1" applyAlignment="1">
      <alignment horizontal="center" vertical="center"/>
    </xf>
    <xf numFmtId="0" fontId="4" fillId="0" borderId="47" xfId="0" applyFont="1" applyBorder="1" applyAlignment="1">
      <alignment horizontal="center" vertical="center"/>
    </xf>
    <xf numFmtId="187" fontId="4" fillId="0" borderId="135" xfId="1" applyNumberFormat="1" applyFont="1" applyFill="1" applyBorder="1" applyAlignment="1" applyProtection="1">
      <alignment horizontal="center" vertical="center"/>
    </xf>
    <xf numFmtId="0" fontId="4" fillId="0" borderId="82" xfId="0" applyFont="1" applyBorder="1" applyAlignment="1">
      <alignment vertical="center"/>
    </xf>
    <xf numFmtId="0" fontId="4" fillId="0" borderId="140" xfId="0" applyFont="1" applyBorder="1" applyAlignment="1">
      <alignment vertical="center"/>
    </xf>
    <xf numFmtId="41" fontId="10" fillId="4" borderId="149" xfId="0" applyNumberFormat="1" applyFont="1" applyFill="1" applyBorder="1" applyAlignment="1">
      <alignment horizontal="center" vertical="center"/>
    </xf>
    <xf numFmtId="41" fontId="10" fillId="4" borderId="42" xfId="0" applyNumberFormat="1" applyFont="1" applyFill="1" applyBorder="1" applyAlignment="1">
      <alignment horizontal="center" vertical="center"/>
    </xf>
    <xf numFmtId="0" fontId="4" fillId="0" borderId="152" xfId="0" applyFont="1" applyBorder="1" applyAlignment="1">
      <alignment vertical="center"/>
    </xf>
    <xf numFmtId="0" fontId="4" fillId="0" borderId="153" xfId="0" applyFont="1" applyBorder="1" applyAlignment="1">
      <alignment vertical="center"/>
    </xf>
    <xf numFmtId="179" fontId="4" fillId="0" borderId="129" xfId="0" applyNumberFormat="1" applyFont="1" applyBorder="1" applyAlignment="1">
      <alignment vertical="center"/>
    </xf>
    <xf numFmtId="0" fontId="4" fillId="0" borderId="154" xfId="0" applyFont="1" applyBorder="1" applyAlignment="1">
      <alignment vertical="center"/>
    </xf>
    <xf numFmtId="179" fontId="4" fillId="0" borderId="131" xfId="0" applyNumberFormat="1" applyFont="1" applyBorder="1" applyAlignment="1">
      <alignment vertical="center"/>
    </xf>
    <xf numFmtId="0" fontId="4" fillId="0" borderId="155" xfId="0" applyFont="1" applyBorder="1" applyAlignment="1">
      <alignment vertical="center"/>
    </xf>
    <xf numFmtId="179" fontId="4" fillId="0" borderId="132" xfId="0" applyNumberFormat="1" applyFont="1" applyBorder="1" applyAlignment="1">
      <alignment vertical="center"/>
    </xf>
    <xf numFmtId="176" fontId="4" fillId="0" borderId="178" xfId="1" applyNumberFormat="1" applyFont="1" applyBorder="1" applyAlignment="1" applyProtection="1">
      <alignment vertical="center"/>
    </xf>
    <xf numFmtId="179" fontId="4" fillId="0" borderId="179" xfId="0" applyNumberFormat="1" applyFont="1" applyBorder="1" applyAlignment="1">
      <alignment vertical="center"/>
    </xf>
    <xf numFmtId="176" fontId="4" fillId="0" borderId="180" xfId="1" applyNumberFormat="1" applyFont="1" applyBorder="1" applyAlignment="1" applyProtection="1">
      <alignment vertical="center"/>
    </xf>
    <xf numFmtId="184" fontId="4" fillId="0" borderId="181" xfId="0" applyNumberFormat="1" applyFont="1" applyBorder="1" applyAlignment="1">
      <alignment vertical="center"/>
    </xf>
    <xf numFmtId="176" fontId="4" fillId="0" borderId="180" xfId="0" applyNumberFormat="1" applyFont="1" applyBorder="1" applyAlignment="1">
      <alignment vertical="center"/>
    </xf>
    <xf numFmtId="176" fontId="4" fillId="0" borderId="182" xfId="0" applyNumberFormat="1" applyFont="1" applyBorder="1" applyAlignment="1">
      <alignment vertical="center"/>
    </xf>
    <xf numFmtId="0" fontId="4" fillId="0" borderId="117" xfId="0" applyFont="1" applyBorder="1" applyAlignment="1">
      <alignment vertical="center"/>
    </xf>
    <xf numFmtId="0" fontId="7" fillId="0" borderId="113" xfId="0" applyFont="1" applyBorder="1" applyAlignment="1">
      <alignment vertical="center"/>
    </xf>
    <xf numFmtId="176" fontId="4" fillId="0" borderId="107" xfId="1" applyNumberFormat="1" applyFont="1" applyBorder="1" applyAlignment="1" applyProtection="1">
      <alignment vertical="center"/>
    </xf>
    <xf numFmtId="179" fontId="4" fillId="0" borderId="150" xfId="0" applyNumberFormat="1" applyFont="1" applyBorder="1" applyAlignment="1">
      <alignment vertical="center"/>
    </xf>
    <xf numFmtId="176" fontId="4" fillId="0" borderId="108" xfId="1" applyNumberFormat="1" applyFont="1" applyBorder="1" applyAlignment="1" applyProtection="1">
      <alignment vertical="center"/>
    </xf>
    <xf numFmtId="184" fontId="4" fillId="0" borderId="151" xfId="0" applyNumberFormat="1" applyFont="1" applyBorder="1" applyAlignment="1">
      <alignment vertical="center"/>
    </xf>
    <xf numFmtId="176" fontId="4" fillId="0" borderId="108" xfId="0" applyNumberFormat="1" applyFont="1" applyBorder="1" applyAlignment="1">
      <alignment vertical="center"/>
    </xf>
    <xf numFmtId="176" fontId="4" fillId="0" borderId="109" xfId="0" applyNumberFormat="1" applyFont="1" applyBorder="1" applyAlignment="1">
      <alignment vertical="center"/>
    </xf>
    <xf numFmtId="176" fontId="4" fillId="0" borderId="129" xfId="0" applyNumberFormat="1" applyFont="1" applyBorder="1" applyAlignment="1">
      <alignment vertical="center"/>
    </xf>
    <xf numFmtId="184" fontId="4" fillId="0" borderId="154" xfId="0" applyNumberFormat="1" applyFont="1" applyBorder="1" applyAlignment="1">
      <alignment vertical="center"/>
    </xf>
    <xf numFmtId="176" fontId="4" fillId="0" borderId="131" xfId="0" applyNumberFormat="1" applyFont="1" applyBorder="1" applyAlignment="1">
      <alignment vertical="center"/>
    </xf>
    <xf numFmtId="184" fontId="4" fillId="0" borderId="155" xfId="0" applyNumberFormat="1" applyFont="1" applyBorder="1" applyAlignment="1">
      <alignment vertical="center"/>
    </xf>
    <xf numFmtId="176" fontId="4" fillId="0" borderId="132" xfId="0" applyNumberFormat="1" applyFont="1" applyBorder="1" applyAlignment="1">
      <alignment vertical="center"/>
    </xf>
    <xf numFmtId="176" fontId="4" fillId="0" borderId="100" xfId="0" applyNumberFormat="1" applyFont="1" applyBorder="1" applyAlignment="1">
      <alignment vertical="center"/>
    </xf>
    <xf numFmtId="179" fontId="4" fillId="0" borderId="41" xfId="0" applyNumberFormat="1" applyFont="1" applyBorder="1" applyAlignment="1">
      <alignment vertical="center"/>
    </xf>
    <xf numFmtId="176" fontId="4" fillId="0" borderId="101" xfId="0" applyNumberFormat="1" applyFont="1" applyBorder="1" applyAlignment="1">
      <alignment vertical="center"/>
    </xf>
    <xf numFmtId="176" fontId="4" fillId="0" borderId="42" xfId="0" applyNumberFormat="1" applyFont="1" applyBorder="1" applyAlignment="1">
      <alignment vertical="center"/>
    </xf>
    <xf numFmtId="0" fontId="18" fillId="0" borderId="0" xfId="0" applyFont="1" applyAlignment="1">
      <alignment vertical="center"/>
    </xf>
    <xf numFmtId="0" fontId="16" fillId="0" borderId="135" xfId="0" applyFont="1" applyBorder="1" applyAlignment="1">
      <alignment vertical="center"/>
    </xf>
    <xf numFmtId="0" fontId="16" fillId="12" borderId="31" xfId="0" applyFont="1" applyFill="1" applyBorder="1" applyAlignment="1">
      <alignment horizontal="centerContinuous" vertical="center"/>
    </xf>
    <xf numFmtId="0" fontId="16" fillId="12" borderId="33" xfId="0" applyFont="1" applyFill="1" applyBorder="1" applyAlignment="1">
      <alignment horizontal="centerContinuous" vertical="center"/>
    </xf>
    <xf numFmtId="0" fontId="16" fillId="12" borderId="15" xfId="0" applyFont="1" applyFill="1" applyBorder="1" applyAlignment="1">
      <alignment horizontal="centerContinuous" vertical="center"/>
    </xf>
    <xf numFmtId="0" fontId="16" fillId="12" borderId="32" xfId="0" applyFont="1" applyFill="1" applyBorder="1" applyAlignment="1">
      <alignment horizontal="center" vertical="center"/>
    </xf>
    <xf numFmtId="0" fontId="0" fillId="0" borderId="45" xfId="0" applyBorder="1" applyAlignment="1">
      <alignment vertical="distributed"/>
    </xf>
    <xf numFmtId="0" fontId="0" fillId="0" borderId="60" xfId="0" applyBorder="1" applyAlignment="1">
      <alignment vertical="center"/>
    </xf>
    <xf numFmtId="0" fontId="0" fillId="0" borderId="217" xfId="0" applyBorder="1" applyAlignment="1">
      <alignment vertical="center"/>
    </xf>
    <xf numFmtId="0" fontId="0" fillId="0" borderId="59" xfId="0" applyBorder="1" applyAlignment="1">
      <alignment vertical="center"/>
    </xf>
    <xf numFmtId="179" fontId="0" fillId="5" borderId="218" xfId="1" applyNumberFormat="1" applyFont="1" applyFill="1" applyBorder="1" applyAlignment="1" applyProtection="1">
      <alignment vertical="center"/>
    </xf>
    <xf numFmtId="0" fontId="0" fillId="0" borderId="217" xfId="0" applyBorder="1"/>
    <xf numFmtId="0" fontId="0" fillId="0" borderId="12" xfId="0" applyBorder="1" applyAlignment="1">
      <alignment vertical="center" textRotation="255"/>
    </xf>
    <xf numFmtId="0" fontId="0" fillId="0" borderId="66" xfId="0" applyBorder="1" applyAlignment="1">
      <alignment vertical="center"/>
    </xf>
    <xf numFmtId="0" fontId="0" fillId="0" borderId="219" xfId="0" applyBorder="1" applyAlignment="1">
      <alignment vertical="center"/>
    </xf>
    <xf numFmtId="0" fontId="0" fillId="0" borderId="58" xfId="0" applyBorder="1" applyAlignment="1">
      <alignment vertical="center"/>
    </xf>
    <xf numFmtId="179" fontId="0" fillId="5" borderId="220" xfId="1" applyNumberFormat="1" applyFont="1" applyFill="1" applyBorder="1" applyAlignment="1" applyProtection="1">
      <alignment vertical="center"/>
    </xf>
    <xf numFmtId="0" fontId="0" fillId="0" borderId="219" xfId="0" applyBorder="1"/>
    <xf numFmtId="179" fontId="0" fillId="5" borderId="84" xfId="0" applyNumberFormat="1" applyFill="1" applyBorder="1" applyAlignment="1">
      <alignment vertical="center"/>
    </xf>
    <xf numFmtId="179" fontId="0" fillId="0" borderId="0" xfId="0" applyNumberFormat="1" applyAlignment="1">
      <alignment vertical="center"/>
    </xf>
    <xf numFmtId="0" fontId="0" fillId="0" borderId="32" xfId="0" applyBorder="1" applyAlignment="1">
      <alignment vertical="distributed"/>
    </xf>
    <xf numFmtId="0" fontId="0" fillId="0" borderId="32" xfId="0" applyBorder="1" applyAlignment="1">
      <alignment vertical="center"/>
    </xf>
    <xf numFmtId="0" fontId="0" fillId="0" borderId="31" xfId="0" applyBorder="1" applyAlignment="1">
      <alignment vertical="center"/>
    </xf>
    <xf numFmtId="0" fontId="0" fillId="0" borderId="33" xfId="0" applyBorder="1" applyAlignment="1">
      <alignment vertical="center"/>
    </xf>
    <xf numFmtId="179" fontId="0" fillId="5" borderId="32" xfId="1" applyNumberFormat="1" applyFont="1" applyFill="1" applyBorder="1" applyAlignment="1" applyProtection="1">
      <alignment vertical="center"/>
    </xf>
    <xf numFmtId="0" fontId="0" fillId="0" borderId="33" xfId="0" applyBorder="1"/>
    <xf numFmtId="0" fontId="0" fillId="0" borderId="0" xfId="0" applyAlignment="1">
      <alignment vertical="center" textRotation="255"/>
    </xf>
    <xf numFmtId="0" fontId="25" fillId="0" borderId="0" xfId="0" applyFont="1" applyAlignment="1">
      <alignment vertical="center"/>
    </xf>
    <xf numFmtId="0" fontId="29"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horizontal="centerContinuous" vertical="center"/>
    </xf>
    <xf numFmtId="0" fontId="0" fillId="0" borderId="0" xfId="0" applyAlignment="1">
      <alignment horizontal="center" vertical="center"/>
    </xf>
    <xf numFmtId="0" fontId="25" fillId="0" borderId="0" xfId="0" applyFont="1" applyAlignment="1">
      <alignment horizontal="center" vertical="center" wrapText="1"/>
    </xf>
    <xf numFmtId="3" fontId="0" fillId="0" borderId="0" xfId="0" applyNumberFormat="1" applyAlignment="1">
      <alignment horizontal="center" vertical="center"/>
    </xf>
    <xf numFmtId="3" fontId="0" fillId="0" borderId="84" xfId="0" applyNumberFormat="1" applyBorder="1" applyAlignment="1">
      <alignment horizontal="centerContinuous" vertical="center"/>
    </xf>
    <xf numFmtId="0" fontId="25" fillId="0" borderId="145" xfId="0" applyFont="1" applyBorder="1" applyAlignment="1">
      <alignment horizontal="center" vertical="center"/>
    </xf>
    <xf numFmtId="0" fontId="25" fillId="0" borderId="48" xfId="0" applyFont="1" applyBorder="1" applyAlignment="1">
      <alignment vertical="center"/>
    </xf>
    <xf numFmtId="38" fontId="26" fillId="7" borderId="142" xfId="0" applyNumberFormat="1" applyFont="1" applyFill="1" applyBorder="1" applyAlignment="1">
      <alignment horizontal="left" vertical="center"/>
    </xf>
    <xf numFmtId="38" fontId="26" fillId="7" borderId="143" xfId="0" applyNumberFormat="1" applyFont="1" applyFill="1" applyBorder="1" applyAlignment="1">
      <alignment horizontal="left" vertical="center"/>
    </xf>
    <xf numFmtId="38" fontId="25" fillId="7" borderId="144" xfId="0" applyNumberFormat="1" applyFont="1" applyFill="1" applyBorder="1" applyAlignment="1">
      <alignment horizontal="center" vertical="center"/>
    </xf>
    <xf numFmtId="38" fontId="25" fillId="0" borderId="0" xfId="0" applyNumberFormat="1" applyFont="1" applyAlignment="1">
      <alignment horizontal="center" vertical="center"/>
    </xf>
    <xf numFmtId="0" fontId="0" fillId="0" borderId="134" xfId="0" applyBorder="1" applyAlignment="1">
      <alignment horizontal="center" vertical="center"/>
    </xf>
    <xf numFmtId="0" fontId="25" fillId="7" borderId="43" xfId="0" applyFont="1" applyFill="1" applyBorder="1" applyAlignment="1">
      <alignment vertical="center"/>
    </xf>
    <xf numFmtId="0" fontId="25" fillId="7" borderId="0" xfId="0" applyFont="1" applyFill="1" applyAlignment="1">
      <alignment vertical="center"/>
    </xf>
    <xf numFmtId="38" fontId="25" fillId="0" borderId="0" xfId="1" applyFont="1" applyFill="1" applyBorder="1" applyAlignment="1" applyProtection="1">
      <alignment vertical="center"/>
    </xf>
    <xf numFmtId="0" fontId="26" fillId="0" borderId="0" xfId="0" applyFont="1" applyAlignment="1">
      <alignment vertical="center"/>
    </xf>
    <xf numFmtId="3" fontId="25" fillId="0" borderId="134" xfId="0" applyNumberFormat="1" applyFont="1" applyBorder="1" applyAlignment="1">
      <alignment horizontal="center" vertical="center"/>
    </xf>
    <xf numFmtId="179" fontId="25" fillId="7" borderId="48" xfId="1" applyNumberFormat="1" applyFont="1" applyFill="1" applyBorder="1" applyAlignment="1" applyProtection="1">
      <alignment vertical="center"/>
    </xf>
    <xf numFmtId="0" fontId="27" fillId="0" borderId="0" xfId="0" applyFont="1" applyAlignment="1">
      <alignment horizontal="left" vertical="center"/>
    </xf>
    <xf numFmtId="0" fontId="26" fillId="8" borderId="43" xfId="0" applyFont="1" applyFill="1" applyBorder="1" applyAlignment="1">
      <alignment vertical="center"/>
    </xf>
    <xf numFmtId="0" fontId="26" fillId="8" borderId="0" xfId="0" applyFont="1" applyFill="1" applyAlignment="1">
      <alignment vertical="center"/>
    </xf>
    <xf numFmtId="0" fontId="25" fillId="0" borderId="142" xfId="0" applyFont="1" applyBorder="1" applyAlignment="1">
      <alignment vertical="center"/>
    </xf>
    <xf numFmtId="0" fontId="25" fillId="0" borderId="144" xfId="0" applyFont="1" applyBorder="1" applyAlignment="1">
      <alignment vertical="center"/>
    </xf>
    <xf numFmtId="3" fontId="0" fillId="0" borderId="134" xfId="0" applyNumberFormat="1" applyBorder="1" applyAlignment="1">
      <alignment horizontal="center" vertical="center"/>
    </xf>
    <xf numFmtId="0" fontId="25" fillId="8" borderId="43" xfId="0" applyFont="1" applyFill="1" applyBorder="1" applyAlignment="1">
      <alignment vertical="center"/>
    </xf>
    <xf numFmtId="0" fontId="25" fillId="8" borderId="0" xfId="0" applyFont="1" applyFill="1" applyAlignment="1">
      <alignment vertical="center"/>
    </xf>
    <xf numFmtId="179" fontId="25" fillId="8" borderId="48" xfId="1" applyNumberFormat="1" applyFont="1" applyFill="1" applyBorder="1" applyAlignment="1" applyProtection="1">
      <alignment vertical="center"/>
    </xf>
    <xf numFmtId="0" fontId="25" fillId="0" borderId="43" xfId="0" applyFont="1" applyBorder="1" applyAlignment="1">
      <alignment vertical="center"/>
    </xf>
    <xf numFmtId="179" fontId="25" fillId="0" borderId="48" xfId="1" applyNumberFormat="1" applyFont="1" applyBorder="1" applyAlignment="1" applyProtection="1">
      <alignment horizontal="right" vertical="center"/>
    </xf>
    <xf numFmtId="0" fontId="0" fillId="0" borderId="43" xfId="0" applyBorder="1" applyAlignment="1">
      <alignment vertical="center"/>
    </xf>
    <xf numFmtId="179" fontId="0" fillId="0" borderId="48" xfId="0" applyNumberFormat="1" applyBorder="1" applyAlignment="1">
      <alignment vertical="center"/>
    </xf>
    <xf numFmtId="179" fontId="25" fillId="0" borderId="48" xfId="1" applyNumberFormat="1" applyFont="1" applyBorder="1" applyAlignment="1" applyProtection="1">
      <alignment vertical="center"/>
    </xf>
    <xf numFmtId="3" fontId="25" fillId="6" borderId="134" xfId="0" applyNumberFormat="1" applyFont="1" applyFill="1" applyBorder="1" applyAlignment="1">
      <alignment horizontal="center" vertical="center"/>
    </xf>
    <xf numFmtId="38" fontId="0" fillId="0" borderId="0" xfId="0" applyNumberFormat="1" applyAlignment="1">
      <alignment horizontal="centerContinuous" vertical="center"/>
    </xf>
    <xf numFmtId="0" fontId="25" fillId="0" borderId="0" xfId="0" applyFont="1" applyAlignment="1">
      <alignment horizontal="centerContinuous" vertical="center" wrapText="1"/>
    </xf>
    <xf numFmtId="3" fontId="0" fillId="6" borderId="134" xfId="0" applyNumberFormat="1" applyFill="1" applyBorder="1" applyAlignment="1">
      <alignment horizontal="center" vertical="center"/>
    </xf>
    <xf numFmtId="38" fontId="25" fillId="0" borderId="0" xfId="1" applyFont="1" applyFill="1" applyBorder="1" applyAlignment="1" applyProtection="1">
      <alignment horizontal="centerContinuous" vertical="center"/>
    </xf>
    <xf numFmtId="0" fontId="0" fillId="6" borderId="140" xfId="0" applyFill="1" applyBorder="1" applyAlignment="1">
      <alignment horizontal="center" vertical="center"/>
    </xf>
    <xf numFmtId="0" fontId="0" fillId="0" borderId="0" xfId="0" applyAlignment="1">
      <alignment horizontal="centerContinuous" vertical="center"/>
    </xf>
    <xf numFmtId="3" fontId="25" fillId="9" borderId="134" xfId="0" applyNumberFormat="1" applyFont="1" applyFill="1" applyBorder="1" applyAlignment="1">
      <alignment horizontal="center" vertical="center"/>
    </xf>
    <xf numFmtId="179" fontId="0" fillId="0" borderId="0" xfId="0" applyNumberFormat="1" applyAlignment="1">
      <alignment horizontal="centerContinuous" vertical="center"/>
    </xf>
    <xf numFmtId="3" fontId="25" fillId="9" borderId="9" xfId="0" applyNumberFormat="1" applyFont="1" applyFill="1" applyBorder="1" applyAlignment="1">
      <alignment horizontal="center" vertical="center"/>
    </xf>
    <xf numFmtId="0" fontId="25" fillId="0" borderId="134" xfId="0" applyFont="1" applyBorder="1" applyAlignment="1">
      <alignment horizontal="center" vertical="center"/>
    </xf>
    <xf numFmtId="3" fontId="25" fillId="0" borderId="0" xfId="0" applyNumberFormat="1" applyFont="1" applyAlignment="1">
      <alignment horizontal="centerContinuous" vertical="center" wrapText="1"/>
    </xf>
    <xf numFmtId="3" fontId="25" fillId="0" borderId="0" xfId="0" applyNumberFormat="1" applyFont="1" applyAlignment="1">
      <alignment horizontal="center" vertical="center"/>
    </xf>
    <xf numFmtId="3" fontId="25" fillId="6" borderId="145" xfId="0" applyNumberFormat="1" applyFont="1" applyFill="1" applyBorder="1" applyAlignment="1">
      <alignment horizontal="center" vertical="center" wrapText="1"/>
    </xf>
    <xf numFmtId="3" fontId="25" fillId="9" borderId="140" xfId="0" applyNumberFormat="1" applyFont="1" applyFill="1" applyBorder="1" applyAlignment="1">
      <alignment horizontal="center" vertical="center"/>
    </xf>
    <xf numFmtId="0" fontId="25" fillId="0" borderId="84" xfId="0" applyFont="1" applyBorder="1" applyAlignment="1">
      <alignment horizontal="center" vertical="center"/>
    </xf>
    <xf numFmtId="38" fontId="25" fillId="0" borderId="140" xfId="0" applyNumberFormat="1" applyFont="1" applyBorder="1" applyAlignment="1">
      <alignment horizontal="center" vertical="center"/>
    </xf>
    <xf numFmtId="0" fontId="28" fillId="0" borderId="0" xfId="0" applyFont="1" applyAlignment="1">
      <alignment vertical="center"/>
    </xf>
    <xf numFmtId="179" fontId="4" fillId="0" borderId="0" xfId="0" applyNumberFormat="1" applyFont="1" applyAlignment="1">
      <alignment vertical="center"/>
    </xf>
    <xf numFmtId="179" fontId="4" fillId="16" borderId="0" xfId="0" applyNumberFormat="1" applyFont="1" applyFill="1" applyAlignment="1" applyProtection="1">
      <alignment vertical="center"/>
      <protection locked="0"/>
    </xf>
    <xf numFmtId="41" fontId="4" fillId="0" borderId="19" xfId="0" applyNumberFormat="1" applyFont="1" applyBorder="1" applyAlignment="1">
      <alignment vertical="center"/>
    </xf>
    <xf numFmtId="38" fontId="31" fillId="0" borderId="17" xfId="1" applyFont="1" applyFill="1" applyBorder="1" applyProtection="1"/>
    <xf numFmtId="179" fontId="0" fillId="0" borderId="210" xfId="0" applyNumberFormat="1" applyBorder="1" applyAlignment="1">
      <alignment horizontal="right" vertical="center"/>
    </xf>
    <xf numFmtId="3" fontId="25" fillId="9" borderId="145" xfId="0" applyNumberFormat="1" applyFont="1" applyFill="1" applyBorder="1" applyAlignment="1">
      <alignment horizontal="center" vertical="center" shrinkToFit="1"/>
    </xf>
    <xf numFmtId="0" fontId="25" fillId="0" borderId="9" xfId="0" applyFont="1" applyBorder="1" applyAlignment="1">
      <alignment vertical="center"/>
    </xf>
    <xf numFmtId="0" fontId="25" fillId="8" borderId="82" xfId="0" applyFont="1" applyFill="1" applyBorder="1" applyAlignment="1">
      <alignment vertical="center"/>
    </xf>
    <xf numFmtId="0" fontId="25" fillId="8" borderId="84" xfId="0" applyFont="1" applyFill="1" applyBorder="1" applyAlignment="1">
      <alignment vertical="center"/>
    </xf>
    <xf numFmtId="179" fontId="25" fillId="8" borderId="48" xfId="0" applyNumberFormat="1" applyFont="1" applyFill="1" applyBorder="1" applyAlignment="1">
      <alignment vertical="center"/>
    </xf>
    <xf numFmtId="179" fontId="0" fillId="0" borderId="48" xfId="1" applyNumberFormat="1" applyFont="1" applyBorder="1" applyAlignment="1" applyProtection="1">
      <alignment vertical="center"/>
    </xf>
    <xf numFmtId="0" fontId="25" fillId="0" borderId="82" xfId="0" applyFont="1" applyBorder="1" applyAlignment="1">
      <alignment vertical="center"/>
    </xf>
    <xf numFmtId="3" fontId="25" fillId="9" borderId="134" xfId="0" applyNumberFormat="1" applyFont="1" applyFill="1" applyBorder="1" applyAlignment="1">
      <alignment horizontal="center" vertical="center" shrinkToFit="1"/>
    </xf>
    <xf numFmtId="179" fontId="4" fillId="0" borderId="131" xfId="0" applyNumberFormat="1" applyFont="1" applyBorder="1" applyAlignment="1">
      <alignment vertical="center" shrinkToFit="1"/>
    </xf>
    <xf numFmtId="184" fontId="4" fillId="0" borderId="0" xfId="0" applyNumberFormat="1" applyFont="1" applyAlignment="1">
      <alignment horizontal="right" vertical="center"/>
    </xf>
    <xf numFmtId="179" fontId="4" fillId="0" borderId="135" xfId="0" applyNumberFormat="1" applyFont="1" applyBorder="1" applyAlignment="1">
      <alignment horizontal="right" vertical="center"/>
    </xf>
    <xf numFmtId="184" fontId="4" fillId="0" borderId="47" xfId="0" applyNumberFormat="1" applyFont="1" applyBorder="1" applyAlignment="1">
      <alignment horizontal="right" vertical="center"/>
    </xf>
    <xf numFmtId="179" fontId="4" fillId="0" borderId="48" xfId="0" applyNumberFormat="1" applyFont="1" applyBorder="1" applyAlignment="1">
      <alignment horizontal="right" vertical="center"/>
    </xf>
    <xf numFmtId="179" fontId="4" fillId="15" borderId="69" xfId="1" applyNumberFormat="1" applyFont="1" applyFill="1" applyBorder="1" applyAlignment="1" applyProtection="1">
      <alignment horizontal="right" vertical="center"/>
    </xf>
    <xf numFmtId="179" fontId="4" fillId="15" borderId="165" xfId="1" applyNumberFormat="1" applyFont="1" applyFill="1" applyBorder="1" applyAlignment="1" applyProtection="1">
      <alignment horizontal="right" vertical="center"/>
    </xf>
    <xf numFmtId="179" fontId="4" fillId="15" borderId="177" xfId="1" applyNumberFormat="1" applyFont="1" applyFill="1" applyBorder="1" applyAlignment="1" applyProtection="1">
      <alignment horizontal="right" vertical="center"/>
    </xf>
    <xf numFmtId="179" fontId="4" fillId="15" borderId="45" xfId="1" applyNumberFormat="1" applyFont="1" applyFill="1" applyBorder="1" applyAlignment="1" applyProtection="1">
      <alignment horizontal="right" vertical="center"/>
    </xf>
    <xf numFmtId="179" fontId="4" fillId="15" borderId="45" xfId="0" applyNumberFormat="1" applyFont="1" applyFill="1" applyBorder="1" applyAlignment="1">
      <alignment horizontal="right" vertical="center"/>
    </xf>
    <xf numFmtId="179" fontId="4" fillId="15" borderId="46" xfId="0" applyNumberFormat="1" applyFont="1" applyFill="1" applyBorder="1" applyAlignment="1">
      <alignment horizontal="right" vertical="center"/>
    </xf>
    <xf numFmtId="179" fontId="4" fillId="0" borderId="69" xfId="1" applyNumberFormat="1" applyFont="1" applyFill="1" applyBorder="1" applyAlignment="1" applyProtection="1">
      <alignment horizontal="right" vertical="center"/>
    </xf>
    <xf numFmtId="0" fontId="7" fillId="0" borderId="143" xfId="0" applyFont="1" applyBorder="1" applyAlignment="1">
      <alignment vertical="center"/>
    </xf>
    <xf numFmtId="179" fontId="4" fillId="5" borderId="145" xfId="1" applyNumberFormat="1" applyFont="1" applyFill="1" applyBorder="1" applyAlignment="1" applyProtection="1">
      <alignment horizontal="right" vertical="center"/>
    </xf>
    <xf numFmtId="179" fontId="4" fillId="0" borderId="264" xfId="0" applyNumberFormat="1" applyFont="1" applyBorder="1" applyAlignment="1">
      <alignment horizontal="right" vertical="center"/>
    </xf>
    <xf numFmtId="179" fontId="4" fillId="15" borderId="137" xfId="0" applyNumberFormat="1" applyFont="1" applyFill="1" applyBorder="1" applyAlignment="1">
      <alignment horizontal="right" vertical="center"/>
    </xf>
    <xf numFmtId="179" fontId="4" fillId="15" borderId="265" xfId="0" applyNumberFormat="1" applyFont="1" applyFill="1" applyBorder="1" applyAlignment="1">
      <alignment horizontal="right" vertical="center"/>
    </xf>
    <xf numFmtId="179" fontId="4" fillId="15" borderId="138" xfId="0" applyNumberFormat="1" applyFont="1" applyFill="1" applyBorder="1" applyAlignment="1">
      <alignment horizontal="right" vertical="center"/>
    </xf>
    <xf numFmtId="179" fontId="4" fillId="15" borderId="139" xfId="0" applyNumberFormat="1" applyFont="1" applyFill="1" applyBorder="1" applyAlignment="1">
      <alignment horizontal="right" vertical="center"/>
    </xf>
    <xf numFmtId="0" fontId="0" fillId="0" borderId="135" xfId="0" applyBorder="1" applyAlignment="1">
      <alignment vertical="center"/>
    </xf>
    <xf numFmtId="179" fontId="0" fillId="0" borderId="135" xfId="1" applyNumberFormat="1" applyFont="1" applyBorder="1" applyAlignment="1" applyProtection="1">
      <alignment vertical="center"/>
    </xf>
    <xf numFmtId="179" fontId="0" fillId="0" borderId="114" xfId="0" applyNumberFormat="1" applyBorder="1" applyAlignment="1">
      <alignment vertical="center"/>
    </xf>
    <xf numFmtId="0" fontId="23" fillId="13" borderId="266" xfId="0" applyFont="1" applyFill="1" applyBorder="1" applyAlignment="1">
      <alignment horizontal="center" vertical="center"/>
    </xf>
    <xf numFmtId="0" fontId="23" fillId="13" borderId="210" xfId="0" applyFont="1" applyFill="1" applyBorder="1" applyAlignment="1">
      <alignment horizontal="center" vertical="center"/>
    </xf>
    <xf numFmtId="0" fontId="23" fillId="13" borderId="211" xfId="0" applyFont="1" applyFill="1" applyBorder="1" applyAlignment="1">
      <alignment horizontal="center" vertical="center"/>
    </xf>
    <xf numFmtId="191" fontId="4" fillId="0" borderId="32" xfId="0" applyNumberFormat="1" applyFont="1" applyBorder="1" applyAlignment="1">
      <alignment vertical="center"/>
    </xf>
    <xf numFmtId="192" fontId="4" fillId="0" borderId="32" xfId="0" applyNumberFormat="1" applyFont="1" applyBorder="1" applyAlignment="1">
      <alignment vertical="center"/>
    </xf>
    <xf numFmtId="192" fontId="4" fillId="0" borderId="38" xfId="0" applyNumberFormat="1" applyFont="1" applyBorder="1" applyAlignment="1">
      <alignment vertical="center"/>
    </xf>
    <xf numFmtId="179" fontId="0" fillId="0" borderId="32" xfId="1" applyNumberFormat="1" applyFont="1" applyBorder="1" applyAlignment="1" applyProtection="1">
      <alignment horizontal="right" vertical="center" indent="1"/>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0" fillId="0" borderId="37" xfId="0" applyBorder="1" applyAlignment="1">
      <alignment vertical="center"/>
    </xf>
    <xf numFmtId="0" fontId="4" fillId="0" borderId="267" xfId="0" applyFont="1" applyBorder="1" applyAlignment="1">
      <alignment vertical="center"/>
    </xf>
    <xf numFmtId="179" fontId="0" fillId="0" borderId="39" xfId="1" applyNumberFormat="1" applyFont="1" applyBorder="1" applyAlignment="1" applyProtection="1">
      <alignment vertical="center"/>
    </xf>
    <xf numFmtId="184" fontId="0" fillId="0" borderId="38" xfId="0" applyNumberFormat="1" applyBorder="1" applyAlignment="1">
      <alignment vertical="center"/>
    </xf>
    <xf numFmtId="179" fontId="0" fillId="5" borderId="68" xfId="0" applyNumberFormat="1" applyFill="1" applyBorder="1" applyAlignment="1">
      <alignment vertical="center"/>
    </xf>
    <xf numFmtId="179" fontId="0" fillId="0" borderId="33" xfId="1" applyNumberFormat="1" applyFont="1" applyBorder="1" applyAlignment="1" applyProtection="1">
      <alignment horizontal="center" vertical="center"/>
    </xf>
    <xf numFmtId="179" fontId="25" fillId="7" borderId="48" xfId="0" applyNumberFormat="1" applyFont="1" applyFill="1" applyBorder="1" applyAlignment="1">
      <alignment vertical="center"/>
    </xf>
    <xf numFmtId="0" fontId="25" fillId="7" borderId="82" xfId="0" applyFont="1" applyFill="1" applyBorder="1" applyAlignment="1">
      <alignment vertical="center"/>
    </xf>
    <xf numFmtId="0" fontId="25" fillId="7" borderId="84" xfId="0" applyFont="1" applyFill="1" applyBorder="1" applyAlignment="1">
      <alignment vertical="center"/>
    </xf>
    <xf numFmtId="193" fontId="25" fillId="7" borderId="85" xfId="0" applyNumberFormat="1" applyFont="1" applyFill="1" applyBorder="1" applyAlignment="1">
      <alignment horizontal="right" vertical="center"/>
    </xf>
    <xf numFmtId="193" fontId="25" fillId="8" borderId="85" xfId="1" applyNumberFormat="1" applyFont="1" applyFill="1" applyBorder="1" applyAlignment="1" applyProtection="1">
      <alignment horizontal="right" vertical="center"/>
    </xf>
    <xf numFmtId="193" fontId="25" fillId="0" borderId="85" xfId="1" applyNumberFormat="1" applyFont="1" applyBorder="1" applyAlignment="1" applyProtection="1">
      <alignment horizontal="right" vertical="center"/>
    </xf>
    <xf numFmtId="179" fontId="4" fillId="5" borderId="134" xfId="0" applyNumberFormat="1" applyFont="1" applyFill="1" applyBorder="1" applyAlignment="1">
      <alignment horizontal="right" vertical="center"/>
    </xf>
    <xf numFmtId="179" fontId="4" fillId="0" borderId="134" xfId="0" applyNumberFormat="1" applyFont="1" applyBorder="1" applyAlignment="1">
      <alignment horizontal="right" vertical="center"/>
    </xf>
    <xf numFmtId="0" fontId="4" fillId="0" borderId="268" xfId="0" applyFont="1" applyBorder="1" applyAlignment="1">
      <alignment vertical="center"/>
    </xf>
    <xf numFmtId="0" fontId="0" fillId="0" borderId="269" xfId="0" applyBorder="1" applyAlignment="1">
      <alignment vertical="center"/>
    </xf>
    <xf numFmtId="184" fontId="4" fillId="0" borderId="116" xfId="1" applyNumberFormat="1" applyFont="1" applyBorder="1" applyAlignment="1" applyProtection="1">
      <alignment horizontal="right" vertical="center"/>
    </xf>
    <xf numFmtId="179" fontId="4" fillId="0" borderId="270" xfId="1" applyNumberFormat="1" applyFont="1" applyBorder="1" applyAlignment="1" applyProtection="1">
      <alignment horizontal="right" vertical="center"/>
    </xf>
    <xf numFmtId="179" fontId="4" fillId="0" borderId="271" xfId="1" applyNumberFormat="1" applyFont="1" applyBorder="1" applyAlignment="1" applyProtection="1">
      <alignment horizontal="right" vertical="center"/>
    </xf>
    <xf numFmtId="184" fontId="4" fillId="0" borderId="118" xfId="1" applyNumberFormat="1" applyFont="1" applyBorder="1" applyAlignment="1" applyProtection="1">
      <alignment horizontal="right" vertical="center"/>
    </xf>
    <xf numFmtId="179" fontId="4" fillId="0" borderId="129" xfId="0" applyNumberFormat="1" applyFont="1" applyBorder="1" applyAlignment="1">
      <alignment vertical="center" shrinkToFit="1"/>
    </xf>
    <xf numFmtId="0" fontId="0" fillId="0" borderId="0" xfId="0" applyAlignment="1">
      <alignment vertical="center" shrinkToFit="1"/>
    </xf>
    <xf numFmtId="0" fontId="0" fillId="0" borderId="48" xfId="0" applyBorder="1" applyAlignment="1">
      <alignment vertical="center" shrinkToFit="1"/>
    </xf>
    <xf numFmtId="38" fontId="25" fillId="0" borderId="0" xfId="0" applyNumberFormat="1" applyFont="1" applyAlignment="1">
      <alignment horizontal="centerContinuous" vertical="center"/>
    </xf>
    <xf numFmtId="3" fontId="25" fillId="0" borderId="0" xfId="0" applyNumberFormat="1" applyFont="1" applyAlignment="1">
      <alignment horizontal="centerContinuous" vertical="center"/>
    </xf>
    <xf numFmtId="0" fontId="10" fillId="11" borderId="145" xfId="0" applyFont="1" applyFill="1" applyBorder="1" applyAlignment="1">
      <alignment horizontal="center" vertical="center"/>
    </xf>
    <xf numFmtId="0" fontId="10" fillId="11" borderId="126" xfId="0" applyFont="1" applyFill="1" applyBorder="1" applyAlignment="1">
      <alignment horizontal="center" vertical="center"/>
    </xf>
    <xf numFmtId="0" fontId="25" fillId="0" borderId="0" xfId="0" applyFont="1" applyAlignment="1">
      <alignment horizontal="right" vertical="center" indent="1"/>
    </xf>
    <xf numFmtId="181" fontId="4" fillId="10" borderId="0" xfId="0" applyNumberFormat="1" applyFont="1" applyFill="1" applyAlignment="1">
      <alignment vertical="center"/>
    </xf>
    <xf numFmtId="0" fontId="4" fillId="0" borderId="6" xfId="0" applyFont="1" applyBorder="1"/>
    <xf numFmtId="0" fontId="17" fillId="0" borderId="0" xfId="0" applyFont="1" applyAlignment="1">
      <alignment horizontal="center" vertical="center" wrapText="1"/>
    </xf>
    <xf numFmtId="0" fontId="23" fillId="11" borderId="159" xfId="0" applyFont="1" applyFill="1" applyBorder="1" applyAlignment="1">
      <alignment vertical="center"/>
    </xf>
    <xf numFmtId="0" fontId="4" fillId="10" borderId="272" xfId="0" applyFont="1" applyFill="1" applyBorder="1" applyAlignment="1">
      <alignment horizontal="center" vertical="center"/>
    </xf>
    <xf numFmtId="38" fontId="25" fillId="0" borderId="0" xfId="0" applyNumberFormat="1" applyFont="1" applyAlignment="1">
      <alignment vertical="center"/>
    </xf>
    <xf numFmtId="38" fontId="31" fillId="6" borderId="14" xfId="1" applyFont="1" applyFill="1" applyBorder="1" applyProtection="1"/>
    <xf numFmtId="176" fontId="25" fillId="0" borderId="0" xfId="0" applyNumberFormat="1" applyFont="1" applyAlignment="1">
      <alignment horizontal="left" vertical="center"/>
    </xf>
    <xf numFmtId="3" fontId="25" fillId="0" borderId="0" xfId="0" applyNumberFormat="1" applyFont="1" applyAlignment="1">
      <alignment horizontal="left" vertical="center"/>
    </xf>
    <xf numFmtId="176" fontId="25" fillId="0" borderId="0" xfId="0" applyNumberFormat="1" applyFont="1" applyAlignment="1">
      <alignment vertical="center"/>
    </xf>
    <xf numFmtId="0" fontId="0" fillId="0" borderId="140" xfId="0" applyBorder="1" applyAlignment="1">
      <alignment horizontal="center" vertical="center"/>
    </xf>
    <xf numFmtId="0" fontId="33" fillId="0" borderId="0" xfId="0" applyFont="1" applyAlignment="1">
      <alignment horizontal="right" vertical="center"/>
    </xf>
    <xf numFmtId="0" fontId="32" fillId="0" borderId="0" xfId="0" applyFont="1" applyAlignment="1">
      <alignment vertical="center"/>
    </xf>
    <xf numFmtId="3" fontId="0" fillId="0" borderId="0" xfId="0" applyNumberFormat="1" applyAlignment="1">
      <alignment horizontal="centerContinuous" vertical="center"/>
    </xf>
    <xf numFmtId="179" fontId="25" fillId="0" borderId="0" xfId="0" applyNumberFormat="1" applyFont="1" applyAlignment="1">
      <alignment vertical="center"/>
    </xf>
    <xf numFmtId="179" fontId="25" fillId="0" borderId="0" xfId="1" applyNumberFormat="1" applyFont="1" applyFill="1" applyBorder="1" applyAlignment="1" applyProtection="1">
      <alignment vertical="center"/>
    </xf>
    <xf numFmtId="193" fontId="25" fillId="0" borderId="0" xfId="0" applyNumberFormat="1" applyFont="1" applyAlignment="1">
      <alignment horizontal="right" vertical="center"/>
    </xf>
    <xf numFmtId="193" fontId="25" fillId="0" borderId="0" xfId="1" applyNumberFormat="1" applyFont="1" applyFill="1" applyBorder="1" applyAlignment="1" applyProtection="1">
      <alignment horizontal="right" vertical="center"/>
    </xf>
    <xf numFmtId="179" fontId="25" fillId="7" borderId="221" xfId="1" applyNumberFormat="1" applyFont="1" applyFill="1" applyBorder="1" applyAlignment="1" applyProtection="1">
      <alignment vertical="center"/>
    </xf>
    <xf numFmtId="179" fontId="26" fillId="17" borderId="43" xfId="1" applyNumberFormat="1" applyFont="1" applyFill="1" applyBorder="1" applyAlignment="1" applyProtection="1">
      <alignment vertical="center"/>
    </xf>
    <xf numFmtId="179" fontId="25" fillId="17" borderId="48" xfId="1" applyNumberFormat="1" applyFont="1" applyFill="1" applyBorder="1" applyAlignment="1" applyProtection="1">
      <alignment vertical="center"/>
    </xf>
    <xf numFmtId="193" fontId="25" fillId="17" borderId="82" xfId="0" applyNumberFormat="1" applyFont="1" applyFill="1" applyBorder="1" applyAlignment="1">
      <alignment horizontal="right" vertical="center"/>
    </xf>
    <xf numFmtId="179" fontId="25" fillId="8" borderId="43" xfId="1" applyNumberFormat="1" applyFont="1" applyFill="1" applyBorder="1" applyAlignment="1" applyProtection="1">
      <alignment vertical="center"/>
    </xf>
    <xf numFmtId="179" fontId="25" fillId="8" borderId="221" xfId="1" applyNumberFormat="1" applyFont="1" applyFill="1" applyBorder="1" applyAlignment="1" applyProtection="1">
      <alignment vertical="center"/>
    </xf>
    <xf numFmtId="179" fontId="26" fillId="18" borderId="43" xfId="1" applyNumberFormat="1" applyFont="1" applyFill="1" applyBorder="1" applyAlignment="1" applyProtection="1">
      <alignment vertical="center"/>
    </xf>
    <xf numFmtId="179" fontId="25" fillId="18" borderId="48" xfId="1" applyNumberFormat="1" applyFont="1" applyFill="1" applyBorder="1" applyAlignment="1" applyProtection="1">
      <alignment vertical="center"/>
    </xf>
    <xf numFmtId="179" fontId="25" fillId="18" borderId="43" xfId="0" applyNumberFormat="1" applyFont="1" applyFill="1" applyBorder="1" applyAlignment="1">
      <alignment vertical="center"/>
    </xf>
    <xf numFmtId="179" fontId="25" fillId="18" borderId="48" xfId="0" applyNumberFormat="1" applyFont="1" applyFill="1" applyBorder="1" applyAlignment="1">
      <alignment vertical="center"/>
    </xf>
    <xf numFmtId="193" fontId="25" fillId="18" borderId="82" xfId="1" applyNumberFormat="1" applyFont="1" applyFill="1" applyBorder="1" applyAlignment="1" applyProtection="1">
      <alignment horizontal="right" vertical="center"/>
    </xf>
    <xf numFmtId="0" fontId="0" fillId="19" borderId="43" xfId="0" applyFill="1" applyBorder="1" applyAlignment="1">
      <alignment vertical="center"/>
    </xf>
    <xf numFmtId="0" fontId="0" fillId="19" borderId="48" xfId="0" applyFill="1" applyBorder="1" applyAlignment="1">
      <alignment vertical="center"/>
    </xf>
    <xf numFmtId="0" fontId="0" fillId="19" borderId="85" xfId="0" applyFill="1" applyBorder="1" applyAlignment="1">
      <alignment vertical="center"/>
    </xf>
    <xf numFmtId="3" fontId="25" fillId="19" borderId="43" xfId="0" applyNumberFormat="1" applyFont="1" applyFill="1" applyBorder="1" applyAlignment="1">
      <alignment horizontal="center" vertical="center"/>
    </xf>
    <xf numFmtId="0" fontId="0" fillId="19" borderId="0" xfId="0" applyFill="1" applyAlignment="1">
      <alignment vertical="center"/>
    </xf>
    <xf numFmtId="0" fontId="25" fillId="19" borderId="43" xfId="0" applyFont="1" applyFill="1" applyBorder="1" applyAlignment="1">
      <alignment horizontal="center" vertical="center"/>
    </xf>
    <xf numFmtId="0" fontId="0" fillId="19" borderId="43" xfId="0" applyFill="1" applyBorder="1" applyAlignment="1">
      <alignment horizontal="center" vertical="center"/>
    </xf>
    <xf numFmtId="3" fontId="25" fillId="19" borderId="82" xfId="0" applyNumberFormat="1" applyFont="1" applyFill="1" applyBorder="1" applyAlignment="1">
      <alignment horizontal="center" vertical="center"/>
    </xf>
    <xf numFmtId="0" fontId="0" fillId="19" borderId="84" xfId="0" applyFill="1" applyBorder="1" applyAlignment="1">
      <alignment vertical="center"/>
    </xf>
    <xf numFmtId="0" fontId="9" fillId="20" borderId="44" xfId="0" applyFont="1" applyFill="1" applyBorder="1" applyAlignment="1">
      <alignment vertical="center"/>
    </xf>
    <xf numFmtId="0" fontId="0" fillId="20" borderId="46" xfId="0" applyFill="1" applyBorder="1" applyAlignment="1">
      <alignment vertical="center"/>
    </xf>
    <xf numFmtId="0" fontId="0" fillId="20" borderId="43" xfId="0" applyFill="1" applyBorder="1" applyAlignment="1">
      <alignment vertical="center"/>
    </xf>
    <xf numFmtId="0" fontId="0" fillId="20" borderId="48" xfId="0" applyFill="1" applyBorder="1" applyAlignment="1">
      <alignment vertical="center"/>
    </xf>
    <xf numFmtId="0" fontId="0" fillId="20" borderId="82" xfId="0" applyFill="1" applyBorder="1" applyAlignment="1">
      <alignment vertical="center"/>
    </xf>
    <xf numFmtId="179" fontId="26" fillId="0" borderId="0" xfId="1" applyNumberFormat="1" applyFont="1" applyFill="1" applyBorder="1" applyAlignment="1" applyProtection="1">
      <alignment vertical="center"/>
    </xf>
    <xf numFmtId="176" fontId="26" fillId="0" borderId="0" xfId="0" applyNumberFormat="1" applyFont="1" applyAlignment="1">
      <alignment vertical="center"/>
    </xf>
    <xf numFmtId="38" fontId="26" fillId="0" borderId="0" xfId="0" applyNumberFormat="1" applyFont="1" applyAlignment="1">
      <alignment vertical="center"/>
    </xf>
    <xf numFmtId="0" fontId="26" fillId="0" borderId="0" xfId="0" applyFont="1" applyAlignment="1">
      <alignment horizontal="left" vertical="center"/>
    </xf>
    <xf numFmtId="176" fontId="26" fillId="0" borderId="0" xfId="0" applyNumberFormat="1" applyFont="1" applyAlignment="1">
      <alignment horizontal="left" vertical="center"/>
    </xf>
    <xf numFmtId="0" fontId="26" fillId="0" borderId="84" xfId="0" applyFont="1" applyBorder="1" applyAlignment="1">
      <alignment vertical="center"/>
    </xf>
    <xf numFmtId="0" fontId="25" fillId="0" borderId="84" xfId="0" applyFont="1" applyBorder="1" applyAlignment="1">
      <alignment horizontal="right" vertical="center"/>
    </xf>
    <xf numFmtId="0" fontId="25" fillId="0" borderId="0" xfId="0" applyFont="1" applyAlignment="1">
      <alignment horizontal="right" vertical="center"/>
    </xf>
    <xf numFmtId="38" fontId="34" fillId="0" borderId="0" xfId="0" applyNumberFormat="1" applyFont="1" applyAlignment="1">
      <alignment vertical="center"/>
    </xf>
    <xf numFmtId="179" fontId="9" fillId="19" borderId="85" xfId="0" applyNumberFormat="1" applyFont="1" applyFill="1" applyBorder="1" applyAlignment="1">
      <alignment vertical="center"/>
    </xf>
    <xf numFmtId="179" fontId="9" fillId="0" borderId="32" xfId="0" applyNumberFormat="1" applyFont="1" applyBorder="1" applyAlignment="1">
      <alignment vertical="center"/>
    </xf>
    <xf numFmtId="0" fontId="30" fillId="0" borderId="0" xfId="0" applyFont="1" applyAlignment="1">
      <alignment vertical="center"/>
    </xf>
    <xf numFmtId="0" fontId="0" fillId="0" borderId="49" xfId="0" applyBorder="1" applyAlignment="1">
      <alignment vertical="center"/>
    </xf>
    <xf numFmtId="0" fontId="0" fillId="0" borderId="159" xfId="0" applyBorder="1" applyAlignment="1">
      <alignment vertical="center"/>
    </xf>
    <xf numFmtId="176" fontId="3" fillId="0" borderId="104" xfId="0" applyNumberFormat="1" applyFont="1" applyBorder="1" applyAlignment="1">
      <alignment horizontal="right" vertical="center" shrinkToFit="1"/>
    </xf>
    <xf numFmtId="176" fontId="0" fillId="0" borderId="16" xfId="0" applyNumberFormat="1" applyBorder="1" applyAlignment="1">
      <alignment vertical="center"/>
    </xf>
    <xf numFmtId="179" fontId="0" fillId="0" borderId="16" xfId="0" applyNumberFormat="1" applyBorder="1" applyAlignment="1">
      <alignment vertical="center"/>
    </xf>
    <xf numFmtId="0" fontId="0" fillId="0" borderId="18" xfId="0" applyBorder="1" applyAlignment="1">
      <alignment vertical="center"/>
    </xf>
    <xf numFmtId="176" fontId="14" fillId="0" borderId="0" xfId="0" applyNumberFormat="1" applyFont="1" applyAlignment="1">
      <alignment vertical="center"/>
    </xf>
    <xf numFmtId="194" fontId="0" fillId="10" borderId="32" xfId="0" applyNumberFormat="1" applyFill="1" applyBorder="1" applyAlignment="1">
      <alignment vertical="center"/>
    </xf>
    <xf numFmtId="194" fontId="0" fillId="10" borderId="0" xfId="0" applyNumberFormat="1" applyFill="1" applyAlignment="1">
      <alignment vertical="center"/>
    </xf>
    <xf numFmtId="194" fontId="26" fillId="0" borderId="32" xfId="0" applyNumberFormat="1" applyFont="1" applyBorder="1" applyAlignment="1">
      <alignment vertical="center" shrinkToFit="1"/>
    </xf>
    <xf numFmtId="179" fontId="1" fillId="0" borderId="50" xfId="1" applyNumberFormat="1" applyFont="1" applyBorder="1" applyAlignment="1" applyProtection="1">
      <alignment vertical="center" shrinkToFit="1"/>
    </xf>
    <xf numFmtId="179" fontId="25" fillId="8" borderId="48" xfId="1" applyNumberFormat="1" applyFont="1" applyFill="1" applyBorder="1" applyAlignment="1" applyProtection="1">
      <alignment horizontal="right" vertical="center"/>
    </xf>
    <xf numFmtId="193" fontId="25" fillId="8" borderId="85" xfId="1" applyNumberFormat="1" applyFont="1" applyFill="1" applyBorder="1" applyAlignment="1" applyProtection="1">
      <alignment horizontal="right" vertical="center" shrinkToFit="1"/>
    </xf>
    <xf numFmtId="194" fontId="25" fillId="7" borderId="13" xfId="1" applyNumberFormat="1" applyFont="1" applyFill="1" applyBorder="1" applyAlignment="1" applyProtection="1">
      <alignment vertical="center"/>
    </xf>
    <xf numFmtId="194" fontId="25" fillId="21" borderId="85" xfId="0" applyNumberFormat="1" applyFont="1" applyFill="1" applyBorder="1" applyAlignment="1">
      <alignment horizontal="right" vertical="center"/>
    </xf>
    <xf numFmtId="194" fontId="25" fillId="8" borderId="13" xfId="1" applyNumberFormat="1" applyFont="1" applyFill="1" applyBorder="1" applyAlignment="1" applyProtection="1">
      <alignment vertical="center" shrinkToFit="1"/>
    </xf>
    <xf numFmtId="194" fontId="25" fillId="8" borderId="85" xfId="1" applyNumberFormat="1" applyFont="1" applyFill="1" applyBorder="1" applyAlignment="1" applyProtection="1">
      <alignment horizontal="right" vertical="center" shrinkToFit="1"/>
    </xf>
    <xf numFmtId="194" fontId="25" fillId="0" borderId="0" xfId="0" applyNumberFormat="1" applyFont="1" applyAlignment="1">
      <alignment vertical="center"/>
    </xf>
    <xf numFmtId="194" fontId="0" fillId="10" borderId="32" xfId="0" applyNumberFormat="1" applyFill="1" applyBorder="1" applyAlignment="1">
      <alignment vertical="center" shrinkToFit="1"/>
    </xf>
    <xf numFmtId="0" fontId="0" fillId="0" borderId="0" xfId="0" applyAlignment="1">
      <alignment horizontal="left" vertical="center"/>
    </xf>
    <xf numFmtId="0" fontId="0" fillId="0" borderId="0" xfId="0" applyAlignment="1">
      <alignment vertical="top"/>
    </xf>
    <xf numFmtId="0" fontId="0" fillId="0" borderId="0" xfId="0" applyAlignment="1">
      <alignment horizontal="right" vertical="top"/>
    </xf>
    <xf numFmtId="38" fontId="31" fillId="6" borderId="9" xfId="1" applyFont="1" applyFill="1" applyBorder="1" applyProtection="1"/>
    <xf numFmtId="181" fontId="4" fillId="0" borderId="11" xfId="0" applyNumberFormat="1" applyFont="1" applyBorder="1" applyAlignment="1">
      <alignment vertical="center" shrinkToFit="1"/>
    </xf>
    <xf numFmtId="0" fontId="4" fillId="0" borderId="15" xfId="0" applyFont="1" applyBorder="1" applyAlignment="1">
      <alignment vertical="center" shrinkToFit="1"/>
    </xf>
    <xf numFmtId="181" fontId="4" fillId="0" borderId="15" xfId="0" applyNumberFormat="1" applyFont="1" applyBorder="1" applyAlignment="1">
      <alignment vertical="center" shrinkToFit="1"/>
    </xf>
    <xf numFmtId="0" fontId="4" fillId="0" borderId="20" xfId="0" applyFont="1" applyBorder="1" applyAlignment="1">
      <alignment shrinkToFit="1"/>
    </xf>
    <xf numFmtId="12" fontId="4" fillId="0" borderId="28" xfId="0" applyNumberFormat="1" applyFont="1" applyBorder="1" applyAlignment="1">
      <alignment horizontal="right" vertical="center"/>
    </xf>
    <xf numFmtId="12" fontId="4" fillId="0" borderId="16" xfId="0" applyNumberFormat="1" applyFont="1" applyBorder="1" applyAlignment="1">
      <alignment horizontal="right" vertical="center"/>
    </xf>
    <xf numFmtId="179" fontId="0" fillId="0" borderId="16" xfId="0" applyNumberFormat="1" applyBorder="1" applyAlignment="1">
      <alignment horizontal="right" vertical="center"/>
    </xf>
    <xf numFmtId="0" fontId="4" fillId="10" borderId="28" xfId="0" applyFont="1" applyFill="1" applyBorder="1" applyAlignment="1">
      <alignment horizontal="center" vertical="center"/>
    </xf>
    <xf numFmtId="190" fontId="4" fillId="10" borderId="33" xfId="0" applyNumberFormat="1" applyFont="1" applyFill="1" applyBorder="1" applyAlignment="1">
      <alignment horizontal="center" vertical="center"/>
    </xf>
    <xf numFmtId="0" fontId="0" fillId="10" borderId="45" xfId="0" applyFill="1" applyBorder="1" applyAlignment="1">
      <alignment horizontal="left" vertical="center"/>
    </xf>
    <xf numFmtId="0" fontId="0" fillId="10" borderId="165" xfId="0" applyFill="1" applyBorder="1" applyAlignment="1">
      <alignment horizontal="left" vertical="center"/>
    </xf>
    <xf numFmtId="0" fontId="4" fillId="10" borderId="260" xfId="0" applyFont="1" applyFill="1" applyBorder="1" applyAlignment="1">
      <alignment vertical="center" wrapText="1"/>
    </xf>
    <xf numFmtId="0" fontId="0" fillId="10" borderId="12" xfId="0" applyFill="1" applyBorder="1" applyAlignment="1">
      <alignment horizontal="left" vertical="center"/>
    </xf>
    <xf numFmtId="0" fontId="0" fillId="10" borderId="11" xfId="0" applyFill="1" applyBorder="1" applyAlignment="1">
      <alignment horizontal="left" vertical="center"/>
    </xf>
    <xf numFmtId="0" fontId="4" fillId="10" borderId="261" xfId="0" applyFont="1" applyFill="1" applyBorder="1" applyAlignment="1">
      <alignment vertical="center" wrapText="1"/>
    </xf>
    <xf numFmtId="0" fontId="4" fillId="0" borderId="15" xfId="0" applyFont="1" applyBorder="1" applyAlignment="1">
      <alignment shrinkToFit="1"/>
    </xf>
    <xf numFmtId="41" fontId="31" fillId="0" borderId="68" xfId="0" applyNumberFormat="1" applyFont="1" applyBorder="1" applyAlignment="1">
      <alignment vertical="center"/>
    </xf>
    <xf numFmtId="179" fontId="33" fillId="0" borderId="250" xfId="1" applyNumberFormat="1" applyFont="1" applyBorder="1" applyAlignment="1" applyProtection="1">
      <alignment vertical="center"/>
    </xf>
    <xf numFmtId="41" fontId="31" fillId="0" borderId="46" xfId="0" applyNumberFormat="1" applyFont="1" applyBorder="1" applyAlignment="1">
      <alignment vertical="center"/>
    </xf>
    <xf numFmtId="41" fontId="31" fillId="0" borderId="51" xfId="0" applyNumberFormat="1" applyFont="1" applyBorder="1" applyAlignment="1">
      <alignment vertical="center"/>
    </xf>
    <xf numFmtId="41" fontId="4" fillId="0" borderId="164" xfId="0" applyNumberFormat="1" applyFont="1" applyBorder="1" applyAlignment="1">
      <alignment vertical="center"/>
    </xf>
    <xf numFmtId="41" fontId="4" fillId="0" borderId="68" xfId="0" applyNumberFormat="1" applyFont="1" applyBorder="1" applyAlignment="1">
      <alignment vertical="center"/>
    </xf>
    <xf numFmtId="41" fontId="4" fillId="6" borderId="46" xfId="0" applyNumberFormat="1" applyFont="1" applyFill="1" applyBorder="1" applyAlignment="1">
      <alignment vertical="center"/>
    </xf>
    <xf numFmtId="0" fontId="4" fillId="23" borderId="16" xfId="0" applyFont="1" applyFill="1" applyBorder="1" applyAlignment="1">
      <alignment vertical="center"/>
    </xf>
    <xf numFmtId="0" fontId="4" fillId="23" borderId="18" xfId="0" applyFont="1" applyFill="1" applyBorder="1" applyAlignment="1">
      <alignment vertical="center"/>
    </xf>
    <xf numFmtId="0" fontId="10" fillId="11" borderId="184" xfId="0" applyFont="1" applyFill="1" applyBorder="1" applyAlignment="1">
      <alignment horizontal="center" vertical="center" wrapText="1"/>
    </xf>
    <xf numFmtId="0" fontId="10" fillId="11" borderId="114" xfId="0" applyFont="1" applyFill="1" applyBorder="1" applyAlignment="1">
      <alignment horizontal="center" vertical="center" wrapText="1"/>
    </xf>
    <xf numFmtId="0" fontId="10" fillId="11" borderId="216" xfId="0" applyFont="1" applyFill="1" applyBorder="1" applyAlignment="1">
      <alignment horizontal="center" vertical="center" wrapText="1"/>
    </xf>
    <xf numFmtId="0" fontId="10" fillId="11" borderId="162" xfId="0" applyFont="1" applyFill="1" applyBorder="1" applyAlignment="1">
      <alignment horizontal="center" vertical="center" wrapText="1"/>
    </xf>
    <xf numFmtId="0" fontId="10" fillId="11" borderId="176" xfId="0" applyFont="1" applyFill="1" applyBorder="1" applyAlignment="1">
      <alignment horizontal="center" vertical="center" wrapText="1"/>
    </xf>
    <xf numFmtId="0" fontId="10" fillId="11" borderId="73" xfId="0" applyFont="1" applyFill="1" applyBorder="1" applyAlignment="1">
      <alignment horizontal="center" vertical="center" wrapText="1"/>
    </xf>
    <xf numFmtId="0" fontId="10" fillId="11" borderId="21" xfId="0" applyFont="1" applyFill="1" applyBorder="1" applyAlignment="1">
      <alignment horizontal="center" vertical="center"/>
    </xf>
    <xf numFmtId="0" fontId="10" fillId="11" borderId="157" xfId="0" applyFont="1" applyFill="1" applyBorder="1" applyAlignment="1">
      <alignment horizontal="center" vertical="center"/>
    </xf>
    <xf numFmtId="0" fontId="0" fillId="11" borderId="157" xfId="0" applyFill="1" applyBorder="1" applyAlignment="1">
      <alignment horizontal="center" vertical="center"/>
    </xf>
    <xf numFmtId="0" fontId="10" fillId="11" borderId="163" xfId="0" applyFont="1" applyFill="1" applyBorder="1" applyAlignment="1">
      <alignment horizontal="center" vertical="center"/>
    </xf>
    <xf numFmtId="0" fontId="0" fillId="11" borderId="164" xfId="0" applyFill="1" applyBorder="1" applyAlignment="1">
      <alignment horizontal="center" vertical="center"/>
    </xf>
    <xf numFmtId="0" fontId="4" fillId="0" borderId="159" xfId="0" applyFont="1" applyBorder="1" applyAlignment="1">
      <alignment horizontal="center" vertical="center"/>
    </xf>
    <xf numFmtId="0" fontId="4" fillId="0" borderId="39" xfId="0" applyFont="1" applyBorder="1" applyAlignment="1">
      <alignment horizontal="center" vertical="center"/>
    </xf>
    <xf numFmtId="0" fontId="10" fillId="11" borderId="145" xfId="0" applyFont="1" applyFill="1" applyBorder="1" applyAlignment="1">
      <alignment horizontal="center" vertical="center"/>
    </xf>
    <xf numFmtId="0" fontId="10" fillId="11" borderId="126" xfId="0" applyFont="1" applyFill="1" applyBorder="1" applyAlignment="1">
      <alignment horizontal="center" vertical="center"/>
    </xf>
    <xf numFmtId="0" fontId="17" fillId="11" borderId="184" xfId="0" applyFont="1" applyFill="1" applyBorder="1" applyAlignment="1">
      <alignment horizontal="center" vertical="center" wrapText="1"/>
    </xf>
    <xf numFmtId="0" fontId="17" fillId="11" borderId="114" xfId="0" applyFont="1" applyFill="1" applyBorder="1" applyAlignment="1">
      <alignment horizontal="center" vertical="center" wrapText="1"/>
    </xf>
    <xf numFmtId="0" fontId="17" fillId="11" borderId="216" xfId="0" applyFont="1" applyFill="1" applyBorder="1" applyAlignment="1">
      <alignment horizontal="center" vertical="center" wrapText="1"/>
    </xf>
    <xf numFmtId="0" fontId="4" fillId="11" borderId="189" xfId="0" applyFont="1" applyFill="1" applyBorder="1" applyAlignment="1">
      <alignment vertical="center"/>
    </xf>
    <xf numFmtId="0" fontId="4" fillId="11" borderId="168" xfId="0" applyFont="1" applyFill="1" applyBorder="1" applyAlignment="1">
      <alignment vertical="center"/>
    </xf>
    <xf numFmtId="0" fontId="4" fillId="11" borderId="72" xfId="0" applyFont="1" applyFill="1" applyBorder="1" applyAlignment="1">
      <alignment vertical="center"/>
    </xf>
    <xf numFmtId="0" fontId="17" fillId="11" borderId="162" xfId="0" applyFont="1" applyFill="1" applyBorder="1" applyAlignment="1">
      <alignment horizontal="center" vertical="center" wrapText="1"/>
    </xf>
    <xf numFmtId="0" fontId="17" fillId="11" borderId="73" xfId="0" applyFont="1" applyFill="1" applyBorder="1" applyAlignment="1">
      <alignment horizontal="center" vertical="center" wrapText="1"/>
    </xf>
    <xf numFmtId="0" fontId="10" fillId="11" borderId="161" xfId="0" applyFont="1" applyFill="1" applyBorder="1" applyAlignment="1">
      <alignment horizontal="center" vertical="center"/>
    </xf>
    <xf numFmtId="0" fontId="10" fillId="11" borderId="262" xfId="0" applyFont="1" applyFill="1" applyBorder="1" applyAlignment="1">
      <alignment horizontal="center" vertical="center"/>
    </xf>
    <xf numFmtId="0" fontId="10" fillId="11" borderId="184" xfId="0" applyFont="1" applyFill="1" applyBorder="1" applyAlignment="1">
      <alignment horizontal="center" vertical="center"/>
    </xf>
    <xf numFmtId="0" fontId="10" fillId="11" borderId="216" xfId="0" applyFont="1" applyFill="1" applyBorder="1" applyAlignment="1">
      <alignment horizontal="center" vertical="center"/>
    </xf>
    <xf numFmtId="0" fontId="17" fillId="11" borderId="126" xfId="0" applyFont="1" applyFill="1" applyBorder="1" applyAlignment="1">
      <alignment horizontal="center" vertical="center" wrapText="1"/>
    </xf>
    <xf numFmtId="0" fontId="10" fillId="11" borderId="189" xfId="0" applyFont="1" applyFill="1" applyBorder="1" applyAlignment="1">
      <alignment horizontal="center" vertical="center"/>
    </xf>
    <xf numFmtId="0" fontId="10" fillId="11" borderId="72" xfId="0" applyFont="1" applyFill="1" applyBorder="1" applyAlignment="1">
      <alignment horizontal="center" vertical="center"/>
    </xf>
    <xf numFmtId="0" fontId="10" fillId="11" borderId="162" xfId="0" applyFont="1" applyFill="1" applyBorder="1" applyAlignment="1">
      <alignment horizontal="center" vertical="center"/>
    </xf>
    <xf numFmtId="0" fontId="10" fillId="11" borderId="73" xfId="0" applyFont="1" applyFill="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left" vertical="top" wrapText="1"/>
    </xf>
    <xf numFmtId="0" fontId="0" fillId="0" borderId="166" xfId="0" applyBorder="1" applyAlignment="1">
      <alignment horizontal="center" vertical="center"/>
    </xf>
    <xf numFmtId="0" fontId="0" fillId="0" borderId="167"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38" fontId="26" fillId="0" borderId="0" xfId="0" applyNumberFormat="1" applyFont="1" applyAlignment="1">
      <alignment horizontal="left" vertical="center" wrapText="1"/>
    </xf>
    <xf numFmtId="176" fontId="9" fillId="22" borderId="273" xfId="0" applyNumberFormat="1" applyFont="1" applyFill="1" applyBorder="1" applyAlignment="1">
      <alignment horizontal="center" vertical="center"/>
    </xf>
    <xf numFmtId="0" fontId="9" fillId="22" borderId="273" xfId="0" applyFont="1" applyFill="1" applyBorder="1" applyAlignment="1">
      <alignment horizontal="center" vertical="center"/>
    </xf>
    <xf numFmtId="176" fontId="26" fillId="0" borderId="166" xfId="0" applyNumberFormat="1" applyFont="1" applyBorder="1" applyAlignment="1">
      <alignment horizontal="center" vertical="center"/>
    </xf>
    <xf numFmtId="176" fontId="26" fillId="0" borderId="167" xfId="0" applyNumberFormat="1" applyFont="1" applyBorder="1" applyAlignment="1">
      <alignment horizontal="center" vertical="center"/>
    </xf>
    <xf numFmtId="176" fontId="26" fillId="0" borderId="172" xfId="0" applyNumberFormat="1" applyFont="1" applyBorder="1" applyAlignment="1">
      <alignment horizontal="center" vertical="center"/>
    </xf>
    <xf numFmtId="179" fontId="26" fillId="0" borderId="166" xfId="0" applyNumberFormat="1" applyFont="1" applyBorder="1" applyAlignment="1">
      <alignment horizontal="center" vertical="center"/>
    </xf>
    <xf numFmtId="0" fontId="26" fillId="0" borderId="167" xfId="0" applyFont="1" applyBorder="1" applyAlignment="1">
      <alignment horizontal="center" vertical="center"/>
    </xf>
    <xf numFmtId="0" fontId="26" fillId="0" borderId="172" xfId="0" applyFont="1" applyBorder="1" applyAlignment="1">
      <alignment horizontal="center" vertical="center"/>
    </xf>
    <xf numFmtId="177" fontId="16" fillId="4" borderId="142" xfId="0" applyNumberFormat="1" applyFont="1" applyFill="1" applyBorder="1" applyAlignment="1">
      <alignment horizontal="center" vertical="center"/>
    </xf>
    <xf numFmtId="177" fontId="16" fillId="4" borderId="161" xfId="0" applyNumberFormat="1" applyFont="1" applyFill="1" applyBorder="1" applyAlignment="1">
      <alignment horizontal="center" vertical="center"/>
    </xf>
    <xf numFmtId="14" fontId="0" fillId="2" borderId="11" xfId="0" applyNumberFormat="1" applyFill="1" applyBorder="1" applyAlignment="1" applyProtection="1">
      <alignment horizontal="center"/>
      <protection locked="0"/>
    </xf>
    <xf numFmtId="0" fontId="9" fillId="0" borderId="20" xfId="0" applyFont="1" applyBorder="1" applyAlignment="1">
      <alignment horizontal="center" vertical="center"/>
    </xf>
    <xf numFmtId="0" fontId="0" fillId="0" borderId="20" xfId="0" applyBorder="1" applyAlignment="1">
      <alignment horizontal="center" vertical="center"/>
    </xf>
    <xf numFmtId="179" fontId="0" fillId="5" borderId="12" xfId="1" applyNumberFormat="1" applyFont="1" applyFill="1" applyBorder="1" applyAlignment="1" applyProtection="1">
      <alignment vertical="center"/>
    </xf>
    <xf numFmtId="179" fontId="0" fillId="5" borderId="13" xfId="1" applyNumberFormat="1" applyFont="1" applyFill="1" applyBorder="1" applyAlignment="1" applyProtection="1">
      <alignment vertical="center"/>
    </xf>
    <xf numFmtId="179" fontId="0" fillId="0" borderId="197" xfId="1" applyNumberFormat="1" applyFont="1" applyFill="1" applyBorder="1" applyAlignment="1" applyProtection="1">
      <alignment horizontal="right" vertical="center"/>
    </xf>
    <xf numFmtId="179" fontId="0" fillId="0" borderId="164" xfId="1" applyNumberFormat="1" applyFont="1" applyFill="1" applyBorder="1" applyAlignment="1" applyProtection="1">
      <alignment horizontal="right" vertical="center"/>
    </xf>
    <xf numFmtId="179" fontId="0" fillId="0" borderId="15" xfId="0" applyNumberFormat="1" applyBorder="1" applyAlignment="1">
      <alignment vertical="center"/>
    </xf>
    <xf numFmtId="179" fontId="0" fillId="0" borderId="19" xfId="0" applyNumberFormat="1" applyBorder="1" applyAlignment="1">
      <alignment vertical="center"/>
    </xf>
    <xf numFmtId="179" fontId="0" fillId="5" borderId="31" xfId="1" applyNumberFormat="1" applyFont="1" applyFill="1" applyBorder="1" applyAlignment="1" applyProtection="1">
      <alignment vertical="center"/>
    </xf>
    <xf numFmtId="179" fontId="0" fillId="5" borderId="19" xfId="1" applyNumberFormat="1" applyFont="1" applyFill="1" applyBorder="1" applyAlignment="1" applyProtection="1">
      <alignment vertical="center"/>
    </xf>
    <xf numFmtId="179" fontId="0" fillId="5" borderId="254" xfId="1" applyNumberFormat="1" applyFont="1" applyFill="1" applyBorder="1" applyAlignment="1" applyProtection="1">
      <alignment vertical="center"/>
    </xf>
    <xf numFmtId="179" fontId="0" fillId="5" borderId="252" xfId="1" applyNumberFormat="1" applyFont="1" applyFill="1" applyBorder="1" applyAlignment="1" applyProtection="1">
      <alignment vertical="center"/>
    </xf>
    <xf numFmtId="0" fontId="0" fillId="14" borderId="0" xfId="0" applyFill="1" applyAlignment="1">
      <alignment horizontal="left" vertical="center"/>
    </xf>
    <xf numFmtId="183" fontId="4" fillId="0" borderId="0" xfId="0" applyNumberFormat="1" applyFont="1" applyAlignment="1">
      <alignment horizontal="left" vertical="center"/>
    </xf>
    <xf numFmtId="179" fontId="4" fillId="2" borderId="0" xfId="1" applyNumberFormat="1" applyFont="1" applyFill="1" applyBorder="1" applyAlignment="1" applyProtection="1">
      <alignment vertical="center"/>
      <protection locked="0"/>
    </xf>
    <xf numFmtId="179" fontId="4" fillId="0" borderId="0" xfId="1" applyNumberFormat="1" applyFont="1" applyFill="1" applyBorder="1" applyAlignment="1" applyProtection="1">
      <alignment vertical="center"/>
    </xf>
    <xf numFmtId="0" fontId="4" fillId="0" borderId="0" xfId="0" applyFont="1" applyAlignment="1">
      <alignment vertical="center"/>
    </xf>
    <xf numFmtId="38" fontId="26" fillId="7" borderId="142" xfId="0" applyNumberFormat="1" applyFont="1" applyFill="1" applyBorder="1" applyAlignment="1">
      <alignment horizontal="left" vertical="top" wrapText="1"/>
    </xf>
    <xf numFmtId="38" fontId="26" fillId="7" borderId="144" xfId="0" applyNumberFormat="1" applyFont="1" applyFill="1" applyBorder="1" applyAlignment="1">
      <alignment horizontal="left" vertical="top" wrapText="1"/>
    </xf>
    <xf numFmtId="38" fontId="26" fillId="7" borderId="43" xfId="0" applyNumberFormat="1" applyFont="1" applyFill="1" applyBorder="1" applyAlignment="1">
      <alignment horizontal="left" vertical="top" wrapText="1"/>
    </xf>
    <xf numFmtId="38" fontId="26" fillId="7" borderId="48" xfId="0" applyNumberFormat="1" applyFont="1" applyFill="1" applyBorder="1" applyAlignment="1">
      <alignment horizontal="left" vertical="top" wrapText="1"/>
    </xf>
    <xf numFmtId="0" fontId="4" fillId="0" borderId="0" xfId="0" applyFont="1" applyAlignment="1">
      <alignment horizontal="center" vertical="center"/>
    </xf>
    <xf numFmtId="0" fontId="0" fillId="16" borderId="0" xfId="0" applyFill="1" applyAlignment="1">
      <alignment horizontal="left" vertical="center"/>
    </xf>
    <xf numFmtId="38" fontId="26" fillId="19" borderId="142" xfId="0" applyNumberFormat="1" applyFont="1" applyFill="1" applyBorder="1" applyAlignment="1">
      <alignment horizontal="left" vertical="center" wrapText="1"/>
    </xf>
    <xf numFmtId="38" fontId="26" fillId="19" borderId="143" xfId="0" applyNumberFormat="1" applyFont="1" applyFill="1" applyBorder="1" applyAlignment="1">
      <alignment horizontal="left" vertical="center" wrapText="1"/>
    </xf>
    <xf numFmtId="38" fontId="26" fillId="19" borderId="144" xfId="0" applyNumberFormat="1" applyFont="1" applyFill="1" applyBorder="1" applyAlignment="1">
      <alignment horizontal="left" vertical="center" wrapText="1"/>
    </xf>
    <xf numFmtId="38" fontId="26" fillId="19" borderId="43" xfId="0" applyNumberFormat="1" applyFont="1" applyFill="1" applyBorder="1" applyAlignment="1">
      <alignment horizontal="left" vertical="center" wrapText="1"/>
    </xf>
    <xf numFmtId="38" fontId="26" fillId="19" borderId="0" xfId="0" applyNumberFormat="1" applyFont="1" applyFill="1" applyAlignment="1">
      <alignment horizontal="left" vertical="center" wrapText="1"/>
    </xf>
    <xf numFmtId="38" fontId="26" fillId="19" borderId="48" xfId="0" applyNumberFormat="1" applyFont="1" applyFill="1" applyBorder="1" applyAlignment="1">
      <alignment horizontal="left" vertical="center" wrapText="1"/>
    </xf>
    <xf numFmtId="0" fontId="26" fillId="19" borderId="142" xfId="0" applyFont="1" applyFill="1" applyBorder="1" applyAlignment="1">
      <alignment horizontal="left" vertical="top" wrapText="1"/>
    </xf>
    <xf numFmtId="0" fontId="26" fillId="19" borderId="144" xfId="0" applyFont="1" applyFill="1" applyBorder="1" applyAlignment="1">
      <alignment horizontal="left" vertical="top" wrapText="1"/>
    </xf>
    <xf numFmtId="0" fontId="26" fillId="19" borderId="43" xfId="0" applyFont="1" applyFill="1" applyBorder="1" applyAlignment="1">
      <alignment horizontal="left" vertical="top" wrapText="1"/>
    </xf>
    <xf numFmtId="0" fontId="26" fillId="19" borderId="48" xfId="0" applyFont="1" applyFill="1" applyBorder="1" applyAlignment="1">
      <alignment horizontal="left" vertical="top" wrapText="1"/>
    </xf>
    <xf numFmtId="179" fontId="0" fillId="5" borderId="37" xfId="1" applyNumberFormat="1" applyFont="1" applyFill="1" applyBorder="1" applyAlignment="1" applyProtection="1">
      <alignment vertical="center"/>
    </xf>
    <xf numFmtId="179" fontId="0" fillId="5" borderId="68" xfId="1" applyNumberFormat="1" applyFont="1" applyFill="1" applyBorder="1" applyAlignment="1" applyProtection="1">
      <alignment vertical="center"/>
    </xf>
    <xf numFmtId="179" fontId="0" fillId="0" borderId="253" xfId="1" applyNumberFormat="1" applyFont="1" applyFill="1" applyBorder="1" applyAlignment="1" applyProtection="1">
      <alignment vertical="center"/>
    </xf>
    <xf numFmtId="179" fontId="0" fillId="0" borderId="250" xfId="1" applyNumberFormat="1" applyFont="1" applyFill="1" applyBorder="1" applyAlignment="1" applyProtection="1">
      <alignment vertical="center"/>
    </xf>
    <xf numFmtId="179" fontId="26" fillId="8" borderId="142" xfId="1" applyNumberFormat="1" applyFont="1" applyFill="1" applyBorder="1" applyAlignment="1" applyProtection="1">
      <alignment horizontal="left" vertical="center" wrapText="1"/>
    </xf>
    <xf numFmtId="179" fontId="26" fillId="8" borderId="144" xfId="1" applyNumberFormat="1" applyFont="1" applyFill="1" applyBorder="1" applyAlignment="1" applyProtection="1">
      <alignment horizontal="left" vertical="center" wrapText="1"/>
    </xf>
    <xf numFmtId="179" fontId="26" fillId="8" borderId="43" xfId="1" applyNumberFormat="1" applyFont="1" applyFill="1" applyBorder="1" applyAlignment="1" applyProtection="1">
      <alignment horizontal="left" vertical="center" wrapText="1"/>
    </xf>
    <xf numFmtId="179" fontId="26" fillId="8" borderId="48" xfId="1" applyNumberFormat="1" applyFont="1" applyFill="1" applyBorder="1" applyAlignment="1" applyProtection="1">
      <alignment horizontal="left" vertical="center" wrapText="1"/>
    </xf>
    <xf numFmtId="179" fontId="0" fillId="0" borderId="221" xfId="1" applyNumberFormat="1" applyFont="1" applyFill="1" applyBorder="1" applyAlignment="1" applyProtection="1">
      <alignment vertical="center"/>
    </xf>
    <xf numFmtId="179" fontId="0" fillId="0" borderId="127" xfId="1" applyNumberFormat="1" applyFont="1" applyFill="1" applyBorder="1" applyAlignment="1" applyProtection="1">
      <alignment vertical="center"/>
    </xf>
    <xf numFmtId="0" fontId="0" fillId="0" borderId="0" xfId="0" applyAlignment="1">
      <alignment horizontal="left" vertical="center" wrapText="1"/>
    </xf>
    <xf numFmtId="179" fontId="9" fillId="5" borderId="103" xfId="1" applyNumberFormat="1" applyFont="1" applyFill="1" applyBorder="1" applyAlignment="1" applyProtection="1">
      <alignment vertical="center"/>
    </xf>
    <xf numFmtId="179" fontId="9" fillId="5" borderId="172" xfId="1" applyNumberFormat="1" applyFont="1" applyFill="1" applyBorder="1" applyAlignment="1" applyProtection="1">
      <alignment vertical="center"/>
    </xf>
    <xf numFmtId="179" fontId="0" fillId="5" borderId="259" xfId="1" applyNumberFormat="1" applyFont="1" applyFill="1" applyBorder="1" applyAlignment="1" applyProtection="1">
      <alignment vertical="center"/>
    </xf>
    <xf numFmtId="179" fontId="0" fillId="5" borderId="257" xfId="1" applyNumberFormat="1" applyFont="1" applyFill="1" applyBorder="1" applyAlignment="1" applyProtection="1">
      <alignment vertical="center"/>
    </xf>
    <xf numFmtId="179" fontId="0" fillId="5" borderId="45" xfId="1" applyNumberFormat="1" applyFont="1" applyFill="1" applyBorder="1" applyAlignment="1" applyProtection="1">
      <alignment vertical="center"/>
    </xf>
    <xf numFmtId="179" fontId="0" fillId="5" borderId="46" xfId="1" applyNumberFormat="1" applyFont="1" applyFill="1" applyBorder="1" applyAlignment="1" applyProtection="1">
      <alignment vertical="center"/>
    </xf>
    <xf numFmtId="0" fontId="9" fillId="0" borderId="166" xfId="0" applyFont="1" applyBorder="1" applyAlignment="1">
      <alignment horizontal="distributed" vertical="center" justifyLastLine="1"/>
    </xf>
    <xf numFmtId="0" fontId="0" fillId="0" borderId="167" xfId="0" applyBorder="1" applyAlignment="1">
      <alignment horizontal="distributed" vertical="center" justifyLastLine="1"/>
    </xf>
    <xf numFmtId="0" fontId="0" fillId="0" borderId="171" xfId="0" applyBorder="1" applyAlignment="1">
      <alignment horizontal="distributed" vertical="center" justifyLastLine="1"/>
    </xf>
    <xf numFmtId="0" fontId="4" fillId="2" borderId="0" xfId="0" applyFont="1" applyFill="1" applyAlignment="1" applyProtection="1">
      <alignment vertical="center"/>
      <protection locked="0"/>
    </xf>
    <xf numFmtId="0" fontId="16" fillId="4" borderId="185" xfId="0" applyFont="1" applyFill="1" applyBorder="1" applyAlignment="1">
      <alignment horizontal="center" vertical="center"/>
    </xf>
    <xf numFmtId="0" fontId="16" fillId="4" borderId="186" xfId="0" applyFont="1" applyFill="1" applyBorder="1" applyAlignment="1">
      <alignment horizontal="center" vertical="center"/>
    </xf>
    <xf numFmtId="0" fontId="7" fillId="0" borderId="143" xfId="0" applyFont="1" applyBorder="1" applyAlignment="1">
      <alignment horizontal="right" vertical="center"/>
    </xf>
    <xf numFmtId="0" fontId="16" fillId="4" borderId="162" xfId="0" applyFont="1" applyFill="1" applyBorder="1" applyAlignment="1">
      <alignment horizontal="center" vertical="center"/>
    </xf>
    <xf numFmtId="0" fontId="16" fillId="4" borderId="169" xfId="0" applyFont="1" applyFill="1" applyBorder="1" applyAlignment="1">
      <alignment horizontal="center" vertical="center"/>
    </xf>
    <xf numFmtId="0" fontId="15" fillId="4" borderId="184" xfId="0" applyFont="1" applyFill="1" applyBorder="1" applyAlignment="1">
      <alignment horizontal="center" vertical="center"/>
    </xf>
    <xf numFmtId="0" fontId="16" fillId="4" borderId="175" xfId="0" applyFont="1" applyFill="1" applyBorder="1" applyAlignment="1">
      <alignment horizontal="center" vertical="center"/>
    </xf>
    <xf numFmtId="0" fontId="16" fillId="4" borderId="142" xfId="0" applyFont="1" applyFill="1" applyBorder="1" applyAlignment="1">
      <alignment horizontal="center" vertical="center"/>
    </xf>
    <xf numFmtId="0" fontId="16" fillId="4" borderId="143" xfId="0" applyFont="1" applyFill="1" applyBorder="1" applyAlignment="1">
      <alignment horizontal="center" vertical="center"/>
    </xf>
    <xf numFmtId="0" fontId="16" fillId="4" borderId="161" xfId="0" applyFont="1" applyFill="1" applyBorder="1" applyAlignment="1">
      <alignment horizontal="center" vertical="center"/>
    </xf>
    <xf numFmtId="0" fontId="16" fillId="4" borderId="82" xfId="0" applyFont="1" applyFill="1" applyBorder="1" applyAlignment="1">
      <alignment horizontal="center" vertical="center"/>
    </xf>
    <xf numFmtId="0" fontId="16" fillId="4" borderId="84" xfId="0" applyFont="1" applyFill="1" applyBorder="1" applyAlignment="1">
      <alignment horizontal="center" vertical="center"/>
    </xf>
    <xf numFmtId="0" fontId="16" fillId="4" borderId="174" xfId="0" applyFont="1" applyFill="1" applyBorder="1" applyAlignment="1">
      <alignment horizontal="center" vertical="center"/>
    </xf>
    <xf numFmtId="0" fontId="0" fillId="0" borderId="177" xfId="0" applyBorder="1" applyAlignment="1">
      <alignment horizontal="center" vertical="center" textRotation="255"/>
    </xf>
    <xf numFmtId="0" fontId="0" fillId="0" borderId="135" xfId="0" applyBorder="1" applyAlignment="1">
      <alignment horizontal="center" vertical="center" textRotation="255"/>
    </xf>
    <xf numFmtId="0" fontId="0" fillId="0" borderId="127" xfId="0" applyBorder="1" applyAlignment="1">
      <alignment horizontal="center" vertical="center" textRotation="255"/>
    </xf>
    <xf numFmtId="0" fontId="4" fillId="0" borderId="143" xfId="0" applyFont="1" applyBorder="1" applyAlignment="1">
      <alignment horizontal="right" vertical="center"/>
    </xf>
    <xf numFmtId="0" fontId="16" fillId="4" borderId="187" xfId="0" applyFont="1" applyFill="1" applyBorder="1" applyAlignment="1">
      <alignment horizontal="center" vertical="center"/>
    </xf>
    <xf numFmtId="0" fontId="16" fillId="4" borderId="188" xfId="0" applyFont="1" applyFill="1" applyBorder="1" applyAlignment="1">
      <alignment horizontal="center" vertical="center"/>
    </xf>
    <xf numFmtId="0" fontId="14" fillId="0" borderId="0" xfId="0" applyFont="1" applyAlignment="1">
      <alignment vertical="center"/>
    </xf>
    <xf numFmtId="0" fontId="14" fillId="0" borderId="84" xfId="0" applyFont="1" applyBorder="1" applyAlignment="1">
      <alignment vertical="center"/>
    </xf>
    <xf numFmtId="179" fontId="9" fillId="0" borderId="166" xfId="0" applyNumberFormat="1" applyFont="1" applyBorder="1" applyAlignment="1">
      <alignment vertical="center"/>
    </xf>
    <xf numFmtId="179" fontId="9" fillId="0" borderId="171" xfId="0" applyNumberFormat="1" applyFont="1" applyBorder="1" applyAlignment="1">
      <alignment vertical="center"/>
    </xf>
    <xf numFmtId="0" fontId="0" fillId="0" borderId="168" xfId="0" applyBorder="1" applyAlignment="1">
      <alignment horizontal="center" vertical="center" textRotation="255" wrapText="1"/>
    </xf>
    <xf numFmtId="0" fontId="0" fillId="0" borderId="183" xfId="0" applyBorder="1" applyAlignment="1">
      <alignment horizontal="center" vertical="center" textRotation="255" wrapText="1"/>
    </xf>
    <xf numFmtId="0" fontId="16" fillId="4" borderId="166" xfId="0" applyFont="1" applyFill="1" applyBorder="1" applyAlignment="1">
      <alignment horizontal="distributed" vertical="center" justifyLastLine="1"/>
    </xf>
    <xf numFmtId="0" fontId="16" fillId="4" borderId="167" xfId="0" applyFont="1" applyFill="1" applyBorder="1" applyAlignment="1">
      <alignment horizontal="distributed" vertical="center" justifyLastLine="1"/>
    </xf>
    <xf numFmtId="0" fontId="16" fillId="4" borderId="171" xfId="0" applyFont="1" applyFill="1" applyBorder="1" applyAlignment="1">
      <alignment horizontal="distributed" vertical="center" justifyLastLine="1"/>
    </xf>
    <xf numFmtId="0" fontId="0" fillId="0" borderId="168" xfId="0" applyBorder="1" applyAlignment="1">
      <alignment vertical="center" textRotation="255"/>
    </xf>
    <xf numFmtId="0" fontId="0" fillId="0" borderId="183" xfId="0" applyBorder="1" applyAlignment="1">
      <alignment vertical="center" textRotation="255"/>
    </xf>
    <xf numFmtId="0" fontId="0" fillId="0" borderId="189" xfId="0" applyBorder="1" applyAlignment="1">
      <alignment vertical="center" textRotation="255"/>
    </xf>
    <xf numFmtId="0" fontId="0" fillId="0" borderId="183" xfId="0" applyBorder="1" applyAlignment="1">
      <alignment vertical="center"/>
    </xf>
    <xf numFmtId="0" fontId="0" fillId="16" borderId="0" xfId="0" applyFill="1" applyAlignment="1">
      <alignment horizontal="left" vertical="center" shrinkToFit="1"/>
    </xf>
    <xf numFmtId="179" fontId="0" fillId="0" borderId="159" xfId="1" applyNumberFormat="1" applyFont="1" applyFill="1" applyBorder="1" applyAlignment="1" applyProtection="1">
      <alignment vertical="center"/>
    </xf>
    <xf numFmtId="179" fontId="0" fillId="0" borderId="39" xfId="1" applyNumberFormat="1" applyFont="1" applyFill="1" applyBorder="1" applyAlignment="1" applyProtection="1">
      <alignment vertical="center"/>
    </xf>
    <xf numFmtId="179" fontId="0" fillId="0" borderId="258" xfId="1" applyNumberFormat="1" applyFont="1" applyFill="1" applyBorder="1" applyAlignment="1" applyProtection="1">
      <alignment vertical="center"/>
    </xf>
    <xf numFmtId="179" fontId="0" fillId="0" borderId="255" xfId="1" applyNumberFormat="1" applyFont="1" applyFill="1" applyBorder="1" applyAlignment="1" applyProtection="1">
      <alignment vertical="center"/>
    </xf>
    <xf numFmtId="179" fontId="0" fillId="0" borderId="163" xfId="1" applyNumberFormat="1" applyFont="1" applyFill="1" applyBorder="1" applyAlignment="1" applyProtection="1">
      <alignment horizontal="right" vertical="center"/>
    </xf>
    <xf numFmtId="179" fontId="0" fillId="0" borderId="198" xfId="1" applyNumberFormat="1" applyFont="1" applyFill="1" applyBorder="1" applyAlignment="1" applyProtection="1">
      <alignment horizontal="right" vertical="center"/>
    </xf>
    <xf numFmtId="179" fontId="0" fillId="0" borderId="49" xfId="0" applyNumberFormat="1" applyBorder="1" applyAlignment="1">
      <alignment vertical="center"/>
    </xf>
    <xf numFmtId="179" fontId="0" fillId="0" borderId="49" xfId="1" applyNumberFormat="1" applyFont="1" applyFill="1" applyBorder="1" applyAlignment="1" applyProtection="1">
      <alignment vertical="center"/>
    </xf>
    <xf numFmtId="179" fontId="0" fillId="0" borderId="33" xfId="1" applyNumberFormat="1" applyFont="1" applyFill="1" applyBorder="1" applyAlignment="1" applyProtection="1">
      <alignment vertical="center"/>
    </xf>
    <xf numFmtId="38" fontId="26" fillId="7" borderId="142" xfId="0" applyNumberFormat="1" applyFont="1" applyFill="1" applyBorder="1" applyAlignment="1">
      <alignment horizontal="left" vertical="center" shrinkToFit="1"/>
    </xf>
    <xf numFmtId="38" fontId="26" fillId="7" borderId="143" xfId="0" applyNumberFormat="1" applyFont="1" applyFill="1" applyBorder="1" applyAlignment="1">
      <alignment horizontal="left" vertical="center" shrinkToFit="1"/>
    </xf>
    <xf numFmtId="38" fontId="26" fillId="7" borderId="144" xfId="0" applyNumberFormat="1" applyFont="1" applyFill="1" applyBorder="1" applyAlignment="1">
      <alignment horizontal="left" vertical="center" shrinkToFit="1"/>
    </xf>
    <xf numFmtId="179" fontId="0" fillId="0" borderId="44" xfId="1" applyNumberFormat="1" applyFont="1" applyFill="1" applyBorder="1" applyAlignment="1" applyProtection="1">
      <alignment vertical="center"/>
    </xf>
    <xf numFmtId="179" fontId="0" fillId="0" borderId="177" xfId="1" applyNumberFormat="1" applyFont="1" applyFill="1" applyBorder="1" applyAlignment="1" applyProtection="1">
      <alignment vertical="center"/>
    </xf>
    <xf numFmtId="0" fontId="0" fillId="0" borderId="0" xfId="0" applyAlignment="1">
      <alignment horizontal="right" vertical="center"/>
    </xf>
    <xf numFmtId="0" fontId="0" fillId="0" borderId="0" xfId="0" applyAlignment="1">
      <alignment vertical="center"/>
    </xf>
    <xf numFmtId="14" fontId="0" fillId="0" borderId="11" xfId="0" applyNumberFormat="1" applyBorder="1" applyAlignment="1">
      <alignment horizontal="center"/>
    </xf>
    <xf numFmtId="0" fontId="4" fillId="0" borderId="189" xfId="0" applyFont="1" applyBorder="1" applyAlignment="1">
      <alignment horizontal="center" vertical="center" textRotation="255" wrapText="1"/>
    </xf>
    <xf numFmtId="0" fontId="4" fillId="0" borderId="168" xfId="0" applyFont="1" applyBorder="1" applyAlignment="1">
      <alignment horizontal="center" vertical="center" textRotation="255" wrapText="1"/>
    </xf>
    <xf numFmtId="0" fontId="4" fillId="0" borderId="183" xfId="0" applyFont="1" applyBorder="1" applyAlignment="1">
      <alignment horizontal="center" vertical="center" textRotation="255" wrapText="1"/>
    </xf>
    <xf numFmtId="0" fontId="4" fillId="15" borderId="37" xfId="0" applyFont="1" applyFill="1" applyBorder="1" applyAlignment="1">
      <alignment horizontal="center" vertical="center"/>
    </xf>
    <xf numFmtId="0" fontId="4" fillId="15" borderId="20" xfId="0" applyFont="1" applyFill="1" applyBorder="1" applyAlignment="1">
      <alignment horizontal="center" vertical="center"/>
    </xf>
    <xf numFmtId="0" fontId="4" fillId="15" borderId="68" xfId="0" applyFont="1" applyFill="1" applyBorder="1" applyAlignment="1">
      <alignment horizontal="center" vertical="center"/>
    </xf>
    <xf numFmtId="0" fontId="4" fillId="0" borderId="14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5" fillId="0" borderId="197" xfId="0" applyFont="1" applyBorder="1" applyAlignment="1">
      <alignment horizontal="center" vertical="center"/>
    </xf>
    <xf numFmtId="0" fontId="5" fillId="0" borderId="164" xfId="0" applyFont="1" applyBorder="1" applyAlignment="1">
      <alignment horizontal="center" vertical="center"/>
    </xf>
    <xf numFmtId="0" fontId="4" fillId="0" borderId="49" xfId="0" applyFont="1" applyBorder="1" applyAlignment="1">
      <alignment horizontal="center" vertical="center"/>
    </xf>
    <xf numFmtId="0" fontId="10" fillId="4" borderId="166" xfId="0" applyFont="1" applyFill="1" applyBorder="1" applyAlignment="1">
      <alignment horizontal="distributed" vertical="center" justifyLastLine="1"/>
    </xf>
    <xf numFmtId="0" fontId="10" fillId="4" borderId="167" xfId="0" applyFont="1" applyFill="1" applyBorder="1" applyAlignment="1">
      <alignment horizontal="distributed" vertical="center" justifyLastLine="1"/>
    </xf>
    <xf numFmtId="0" fontId="10" fillId="4" borderId="172" xfId="0" applyFont="1" applyFill="1" applyBorder="1" applyAlignment="1">
      <alignment horizontal="distributed" vertical="center" justifyLastLine="1"/>
    </xf>
    <xf numFmtId="0" fontId="5" fillId="0" borderId="198" xfId="0" applyFont="1" applyBorder="1" applyAlignment="1">
      <alignment horizontal="center" vertical="center"/>
    </xf>
    <xf numFmtId="0" fontId="5" fillId="0" borderId="163" xfId="0" applyFont="1" applyBorder="1" applyAlignment="1">
      <alignment horizontal="center" vertical="center"/>
    </xf>
    <xf numFmtId="0" fontId="4" fillId="0" borderId="166" xfId="0" applyFont="1" applyBorder="1" applyAlignment="1">
      <alignment horizontal="center" vertical="center"/>
    </xf>
    <xf numFmtId="0" fontId="4" fillId="0" borderId="167" xfId="0" applyFont="1" applyBorder="1" applyAlignment="1">
      <alignment horizontal="center" vertical="center"/>
    </xf>
    <xf numFmtId="0" fontId="4" fillId="0" borderId="172" xfId="0" applyFont="1" applyBorder="1" applyAlignment="1">
      <alignment horizontal="center" vertical="center"/>
    </xf>
    <xf numFmtId="0" fontId="4" fillId="0" borderId="199" xfId="0" applyFont="1" applyBorder="1" applyAlignment="1">
      <alignment vertical="center" shrinkToFit="1"/>
    </xf>
    <xf numFmtId="0" fontId="0" fillId="0" borderId="200" xfId="0" applyBorder="1" applyAlignment="1">
      <alignment vertical="center" shrinkToFit="1"/>
    </xf>
    <xf numFmtId="0" fontId="0" fillId="0" borderId="201" xfId="0" applyBorder="1" applyAlignment="1">
      <alignment vertical="center" shrinkToFit="1"/>
    </xf>
    <xf numFmtId="14" fontId="4" fillId="0" borderId="0" xfId="0" applyNumberFormat="1" applyFont="1" applyAlignment="1" applyProtection="1">
      <alignment horizontal="center"/>
      <protection locked="0"/>
    </xf>
    <xf numFmtId="0" fontId="13" fillId="0" borderId="0" xfId="0" applyFont="1" applyAlignment="1">
      <alignment horizontal="center" vertical="top"/>
    </xf>
    <xf numFmtId="0" fontId="7" fillId="0" borderId="189" xfId="0" applyFont="1" applyBorder="1" applyAlignment="1">
      <alignment horizontal="center" vertical="center" textRotation="255" wrapText="1"/>
    </xf>
    <xf numFmtId="0" fontId="7" fillId="0" borderId="168" xfId="0" applyFont="1" applyBorder="1" applyAlignment="1">
      <alignment horizontal="center" vertical="center" textRotation="255" wrapText="1"/>
    </xf>
    <xf numFmtId="0" fontId="13" fillId="0" borderId="224" xfId="0" applyFont="1" applyBorder="1" applyAlignment="1">
      <alignment horizontal="center" vertical="center" textRotation="255"/>
    </xf>
    <xf numFmtId="0" fontId="13" fillId="0" borderId="114" xfId="0" applyFont="1" applyBorder="1" applyAlignment="1">
      <alignment horizontal="center" vertical="center" textRotation="255"/>
    </xf>
    <xf numFmtId="0" fontId="13" fillId="0" borderId="209" xfId="0" applyFont="1" applyBorder="1" applyAlignment="1">
      <alignment horizontal="center" vertical="center" textRotation="255"/>
    </xf>
    <xf numFmtId="0" fontId="4" fillId="0" borderId="224" xfId="0" applyFont="1" applyBorder="1" applyAlignment="1">
      <alignment horizontal="center" vertical="center"/>
    </xf>
    <xf numFmtId="0" fontId="4" fillId="0" borderId="209" xfId="0" applyFont="1" applyBorder="1" applyAlignment="1">
      <alignment horizontal="center" vertical="center"/>
    </xf>
    <xf numFmtId="0" fontId="4" fillId="15" borderId="45" xfId="0" applyFont="1" applyFill="1" applyBorder="1" applyAlignment="1">
      <alignment horizontal="center" vertical="center"/>
    </xf>
    <xf numFmtId="0" fontId="4" fillId="15" borderId="165" xfId="0" applyFont="1" applyFill="1" applyBorder="1" applyAlignment="1">
      <alignment horizontal="center" vertical="center"/>
    </xf>
    <xf numFmtId="0" fontId="4" fillId="15" borderId="46" xfId="0" applyFont="1" applyFill="1" applyBorder="1" applyAlignment="1">
      <alignment horizontal="center" vertical="center"/>
    </xf>
    <xf numFmtId="0" fontId="0" fillId="0" borderId="189" xfId="0" applyBorder="1" applyAlignment="1">
      <alignment horizontal="center" vertical="center" textRotation="255"/>
    </xf>
    <xf numFmtId="0" fontId="0" fillId="0" borderId="168" xfId="0" applyBorder="1" applyAlignment="1">
      <alignment horizontal="center" vertical="center" textRotation="255"/>
    </xf>
    <xf numFmtId="0" fontId="0" fillId="0" borderId="72" xfId="0" applyBorder="1" applyAlignment="1">
      <alignment horizontal="center" vertical="center" textRotation="255"/>
    </xf>
    <xf numFmtId="0" fontId="4" fillId="15" borderId="138" xfId="0" applyFont="1" applyFill="1" applyBorder="1" applyAlignment="1">
      <alignment horizontal="center" vertical="center"/>
    </xf>
    <xf numFmtId="0" fontId="4" fillId="15" borderId="137" xfId="0" applyFont="1" applyFill="1" applyBorder="1" applyAlignment="1">
      <alignment horizontal="center" vertical="center"/>
    </xf>
    <xf numFmtId="0" fontId="4" fillId="15" borderId="139" xfId="0" applyFont="1" applyFill="1" applyBorder="1" applyAlignment="1">
      <alignment horizontal="center" vertical="center"/>
    </xf>
    <xf numFmtId="0" fontId="4" fillId="15" borderId="203" xfId="0" applyFont="1" applyFill="1" applyBorder="1" applyAlignment="1">
      <alignment horizontal="center" vertical="center"/>
    </xf>
    <xf numFmtId="0" fontId="4" fillId="15" borderId="204" xfId="0" applyFont="1" applyFill="1" applyBorder="1" applyAlignment="1">
      <alignment horizontal="center" vertical="center"/>
    </xf>
    <xf numFmtId="0" fontId="4" fillId="15" borderId="205" xfId="0" applyFont="1" applyFill="1" applyBorder="1" applyAlignment="1">
      <alignment horizontal="center" vertical="center"/>
    </xf>
    <xf numFmtId="179" fontId="4" fillId="15" borderId="225" xfId="1" applyNumberFormat="1" applyFont="1" applyFill="1" applyBorder="1" applyAlignment="1" applyProtection="1">
      <alignment vertical="center"/>
    </xf>
    <xf numFmtId="179" fontId="4" fillId="15" borderId="226" xfId="1" applyNumberFormat="1" applyFont="1" applyFill="1" applyBorder="1" applyAlignment="1" applyProtection="1">
      <alignment vertical="center"/>
    </xf>
    <xf numFmtId="179" fontId="4" fillId="15" borderId="227" xfId="1" applyNumberFormat="1" applyFont="1" applyFill="1" applyBorder="1" applyAlignment="1" applyProtection="1">
      <alignment vertical="center"/>
    </xf>
    <xf numFmtId="0" fontId="8" fillId="0" borderId="194" xfId="0" applyFont="1" applyBorder="1" applyAlignment="1">
      <alignment horizontal="center" vertical="center"/>
    </xf>
    <xf numFmtId="0" fontId="8" fillId="0" borderId="195" xfId="0" applyFont="1" applyBorder="1" applyAlignment="1">
      <alignment horizontal="center" vertical="center"/>
    </xf>
    <xf numFmtId="0" fontId="8" fillId="0" borderId="196" xfId="0" applyFont="1" applyBorder="1" applyAlignment="1">
      <alignment horizontal="center" vertical="center"/>
    </xf>
    <xf numFmtId="179" fontId="8" fillId="0" borderId="202" xfId="1" applyNumberFormat="1" applyFont="1" applyFill="1" applyBorder="1" applyAlignment="1" applyProtection="1">
      <alignment horizontal="right" vertical="center"/>
    </xf>
    <xf numFmtId="179" fontId="8" fillId="0" borderId="192" xfId="1" applyNumberFormat="1" applyFont="1" applyFill="1" applyBorder="1" applyAlignment="1" applyProtection="1">
      <alignment horizontal="right" vertical="center"/>
    </xf>
    <xf numFmtId="179" fontId="8" fillId="0" borderId="191" xfId="1" applyNumberFormat="1" applyFont="1" applyFill="1" applyBorder="1" applyAlignment="1" applyProtection="1">
      <alignment horizontal="right" vertical="center"/>
    </xf>
    <xf numFmtId="179" fontId="8" fillId="0" borderId="193" xfId="1" applyNumberFormat="1" applyFont="1" applyFill="1" applyBorder="1" applyAlignment="1" applyProtection="1">
      <alignment horizontal="right" vertical="center"/>
    </xf>
    <xf numFmtId="0" fontId="4" fillId="0" borderId="263" xfId="0" applyFont="1" applyBorder="1" applyAlignment="1">
      <alignment vertical="center" shrinkToFit="1"/>
    </xf>
    <xf numFmtId="0" fontId="0" fillId="0" borderId="147" xfId="0" applyBorder="1" applyAlignment="1">
      <alignment vertical="center" shrinkToFit="1"/>
    </xf>
    <xf numFmtId="0" fontId="0" fillId="0" borderId="148" xfId="0" applyBorder="1" applyAlignment="1">
      <alignment vertical="center" shrinkToFit="1"/>
    </xf>
    <xf numFmtId="41" fontId="4" fillId="0" borderId="228" xfId="0" applyNumberFormat="1" applyFont="1" applyBorder="1" applyAlignment="1">
      <alignment horizontal="center" vertical="center"/>
    </xf>
    <xf numFmtId="0" fontId="4" fillId="0" borderId="142" xfId="0" applyFont="1" applyBorder="1" applyAlignment="1">
      <alignment vertical="center"/>
    </xf>
    <xf numFmtId="0" fontId="4" fillId="0" borderId="161" xfId="0" applyFont="1" applyBorder="1" applyAlignment="1">
      <alignment vertical="center"/>
    </xf>
    <xf numFmtId="185" fontId="4" fillId="0" borderId="114" xfId="0" applyNumberFormat="1" applyFont="1" applyBorder="1" applyAlignment="1">
      <alignment horizontal="center" vertical="center"/>
    </xf>
    <xf numFmtId="185" fontId="0" fillId="0" borderId="114" xfId="0" applyNumberFormat="1" applyBorder="1" applyAlignment="1">
      <alignment horizontal="center" vertical="center"/>
    </xf>
    <xf numFmtId="185" fontId="0" fillId="0" borderId="176" xfId="0" applyNumberFormat="1" applyBorder="1" applyAlignment="1">
      <alignment horizontal="center" vertical="center"/>
    </xf>
  </cellXfs>
  <cellStyles count="3">
    <cellStyle name="桁区切り" xfId="1" builtinId="6"/>
    <cellStyle name="標準" xfId="0" builtinId="0"/>
    <cellStyle name="標準_【キャッシュフロー用】受入経費試算4-1" xfId="2" xr:uid="{00000000-0005-0000-0000-000002000000}"/>
  </cellStyles>
  <dxfs count="32">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ill>
        <patternFill>
          <bgColor indexed="13"/>
        </patternFill>
      </fill>
    </dxf>
    <dxf>
      <font>
        <b/>
        <i val="0"/>
        <strike val="0"/>
        <condense val="0"/>
        <extend val="0"/>
        <color indexed="12"/>
      </font>
      <fill>
        <patternFill>
          <bgColor indexed="22"/>
        </patternFill>
      </fill>
    </dxf>
    <dxf>
      <font>
        <color rgb="FFFFCC99"/>
      </font>
    </dxf>
    <dxf>
      <font>
        <color theme="0"/>
      </font>
    </dxf>
    <dxf>
      <fill>
        <patternFill>
          <bgColor indexed="13"/>
        </patternFill>
      </fill>
    </dxf>
    <dxf>
      <font>
        <b/>
        <i val="0"/>
        <strike val="0"/>
        <condense val="0"/>
        <extend val="0"/>
        <color indexed="12"/>
      </font>
      <fill>
        <patternFill>
          <bgColor indexed="22"/>
        </patternFill>
      </fill>
    </dxf>
    <dxf>
      <fill>
        <patternFill>
          <bgColor theme="4" tint="0.79998168889431442"/>
        </patternFill>
      </fill>
    </dxf>
    <dxf>
      <font>
        <condense val="0"/>
        <extend val="0"/>
        <color indexed="9"/>
      </font>
    </dxf>
    <dxf>
      <fill>
        <patternFill>
          <bgColor theme="4" tint="0.79998168889431442"/>
        </patternFill>
      </fill>
    </dxf>
    <dxf>
      <font>
        <condense val="0"/>
        <extend val="0"/>
        <color indexed="9"/>
      </font>
    </dxf>
  </dxfs>
  <tableStyles count="0" defaultTableStyle="TableStyleMedium2" defaultPivotStyle="PivotStyleLight16"/>
  <colors>
    <mruColors>
      <color rgb="FF0000FF"/>
      <color rgb="FF009900"/>
      <color rgb="FFFFFF99"/>
      <color rgb="FFCCFFCC"/>
      <color rgb="FFFFCCFF"/>
      <color rgb="FF66FFFF"/>
      <color rgb="FF66FFCC"/>
      <color rgb="FFFFCC99"/>
      <color rgb="FF6666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Lines="3" dropStyle="combo" dx="15" fmlaLink="'6W計算シート'!$B$24" fmlaRange="'6W計算シート'!$C$26:$C$28" noThreeD="1" sel="3" val="0"/>
</file>

<file path=xl/ctrlProps/ctrlProp2.xml><?xml version="1.0" encoding="utf-8"?>
<formControlPr xmlns="http://schemas.microsoft.com/office/spreadsheetml/2009/9/main" objectType="Drop" dropLines="12" dropStyle="combo" dx="15" fmlaLink="'6W計算シート'!$B$47" fmlaRange="'6W計算シート'!$C$50:$C$61" noThreeD="1" sel="10" val="0"/>
</file>

<file path=xl/ctrlProps/ctrlProp3.xml><?xml version="1.0" encoding="utf-8"?>
<formControlPr xmlns="http://schemas.microsoft.com/office/spreadsheetml/2009/9/main" objectType="Drop" dropLines="6" dropStyle="combo" dx="15" fmlaLink="'6W計算シート'!$B$33" fmlaRange="'6W計算シート'!$C$36:$C$42" noThreeD="1" sel="1" val="0"/>
</file>

<file path=xl/drawings/_rels/drawing4.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5.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104776</xdr:rowOff>
    </xdr:from>
    <xdr:to>
      <xdr:col>14</xdr:col>
      <xdr:colOff>9524</xdr:colOff>
      <xdr:row>17</xdr:row>
      <xdr:rowOff>226220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9525" y="831057"/>
          <a:ext cx="8929687" cy="3455194"/>
        </a:xfrm>
        <a:prstGeom prst="rect">
          <a:avLst/>
        </a:prstGeom>
        <a:noFill/>
        <a:ln w="19050" cap="sq"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559594</xdr:colOff>
      <xdr:row>16</xdr:row>
      <xdr:rowOff>50006</xdr:rowOff>
    </xdr:from>
    <xdr:to>
      <xdr:col>13</xdr:col>
      <xdr:colOff>204788</xdr:colOff>
      <xdr:row>16</xdr:row>
      <xdr:rowOff>50006</xdr:rowOff>
    </xdr:to>
    <xdr:sp macro="" textlink="">
      <xdr:nvSpPr>
        <xdr:cNvPr id="30" name="Line 515">
          <a:extLst>
            <a:ext uri="{FF2B5EF4-FFF2-40B4-BE49-F238E27FC236}">
              <a16:creationId xmlns:a16="http://schemas.microsoft.com/office/drawing/2014/main" id="{00000000-0008-0000-0000-00001E000000}"/>
            </a:ext>
          </a:extLst>
        </xdr:cNvPr>
        <xdr:cNvSpPr>
          <a:spLocks noChangeShapeType="1"/>
        </xdr:cNvSpPr>
      </xdr:nvSpPr>
      <xdr:spPr bwMode="auto">
        <a:xfrm>
          <a:off x="4893469" y="3871912"/>
          <a:ext cx="350281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36</xdr:row>
      <xdr:rowOff>195262</xdr:rowOff>
    </xdr:from>
    <xdr:to>
      <xdr:col>14</xdr:col>
      <xdr:colOff>108450</xdr:colOff>
      <xdr:row>38</xdr:row>
      <xdr:rowOff>208162</xdr:rowOff>
    </xdr:to>
    <xdr:sp macro="" textlink="">
      <xdr:nvSpPr>
        <xdr:cNvPr id="38" name="AutoShape 60">
          <a:extLst>
            <a:ext uri="{FF2B5EF4-FFF2-40B4-BE49-F238E27FC236}">
              <a16:creationId xmlns:a16="http://schemas.microsoft.com/office/drawing/2014/main" id="{00000000-0008-0000-0000-000026000000}"/>
            </a:ext>
          </a:extLst>
        </xdr:cNvPr>
        <xdr:cNvSpPr>
          <a:spLocks noChangeArrowheads="1"/>
        </xdr:cNvSpPr>
      </xdr:nvSpPr>
      <xdr:spPr bwMode="auto">
        <a:xfrm>
          <a:off x="7467600" y="8367712"/>
          <a:ext cx="1080000" cy="489150"/>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367393</xdr:colOff>
      <xdr:row>38</xdr:row>
      <xdr:rowOff>190049</xdr:rowOff>
    </xdr:from>
    <xdr:to>
      <xdr:col>13</xdr:col>
      <xdr:colOff>178595</xdr:colOff>
      <xdr:row>44</xdr:row>
      <xdr:rowOff>176892</xdr:rowOff>
    </xdr:to>
    <xdr:sp macro="" textlink="">
      <xdr:nvSpPr>
        <xdr:cNvPr id="41" name="Freeform 209">
          <a:extLst>
            <a:ext uri="{FF2B5EF4-FFF2-40B4-BE49-F238E27FC236}">
              <a16:creationId xmlns:a16="http://schemas.microsoft.com/office/drawing/2014/main" id="{00000000-0008-0000-0000-000029000000}"/>
            </a:ext>
          </a:extLst>
        </xdr:cNvPr>
        <xdr:cNvSpPr>
          <a:spLocks/>
        </xdr:cNvSpPr>
      </xdr:nvSpPr>
      <xdr:spPr bwMode="auto">
        <a:xfrm>
          <a:off x="6000750" y="9266013"/>
          <a:ext cx="1688988" cy="1170665"/>
        </a:xfrm>
        <a:custGeom>
          <a:avLst/>
          <a:gdLst>
            <a:gd name="T0" fmla="*/ 2147483647 w 226"/>
            <a:gd name="T1" fmla="*/ 0 h 93"/>
            <a:gd name="T2" fmla="*/ 2147483647 w 226"/>
            <a:gd name="T3" fmla="*/ 2147483647 h 93"/>
            <a:gd name="T4" fmla="*/ 2147483647 w 226"/>
            <a:gd name="T5" fmla="*/ 2147483647 h 93"/>
            <a:gd name="T6" fmla="*/ 0 w 226"/>
            <a:gd name="T7" fmla="*/ 2147483647 h 93"/>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26" h="93">
              <a:moveTo>
                <a:pt x="226" y="0"/>
              </a:moveTo>
              <a:lnTo>
                <a:pt x="226" y="80"/>
              </a:lnTo>
              <a:lnTo>
                <a:pt x="226" y="93"/>
              </a:lnTo>
              <a:lnTo>
                <a:pt x="0" y="93"/>
              </a:lnTo>
            </a:path>
          </a:pathLst>
        </a:custGeom>
        <a:noFill/>
        <a:ln w="38100" cap="flat" cmpd="sng">
          <a:solidFill>
            <a:srgbClr val="FF0000"/>
          </a:solidFill>
          <a:prstDash val="solid"/>
          <a:round/>
          <a:headEnd type="none" w="med" len="med"/>
          <a:tailEnd type="triangle" w="med"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503464</xdr:colOff>
      <xdr:row>25</xdr:row>
      <xdr:rowOff>7499</xdr:rowOff>
    </xdr:from>
    <xdr:to>
      <xdr:col>15</xdr:col>
      <xdr:colOff>666749</xdr:colOff>
      <xdr:row>37</xdr:row>
      <xdr:rowOff>200932</xdr:rowOff>
    </xdr:to>
    <xdr:sp macro="" textlink="">
      <xdr:nvSpPr>
        <xdr:cNvPr id="45" name="左中かっこ 44">
          <a:extLst>
            <a:ext uri="{FF2B5EF4-FFF2-40B4-BE49-F238E27FC236}">
              <a16:creationId xmlns:a16="http://schemas.microsoft.com/office/drawing/2014/main" id="{00000000-0008-0000-0000-00002D000000}"/>
            </a:ext>
          </a:extLst>
        </xdr:cNvPr>
        <xdr:cNvSpPr/>
      </xdr:nvSpPr>
      <xdr:spPr bwMode="auto">
        <a:xfrm>
          <a:off x="9443357" y="5899392"/>
          <a:ext cx="163285" cy="3132576"/>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449034</xdr:colOff>
      <xdr:row>38</xdr:row>
      <xdr:rowOff>90672</xdr:rowOff>
    </xdr:from>
    <xdr:to>
      <xdr:col>15</xdr:col>
      <xdr:colOff>680356</xdr:colOff>
      <xdr:row>43</xdr:row>
      <xdr:rowOff>176893</xdr:rowOff>
    </xdr:to>
    <xdr:sp macro="" textlink="">
      <xdr:nvSpPr>
        <xdr:cNvPr id="49" name="左中かっこ 48">
          <a:extLst>
            <a:ext uri="{FF2B5EF4-FFF2-40B4-BE49-F238E27FC236}">
              <a16:creationId xmlns:a16="http://schemas.microsoft.com/office/drawing/2014/main" id="{00000000-0008-0000-0000-000031000000}"/>
            </a:ext>
          </a:extLst>
        </xdr:cNvPr>
        <xdr:cNvSpPr/>
      </xdr:nvSpPr>
      <xdr:spPr bwMode="auto">
        <a:xfrm>
          <a:off x="9388927" y="9166636"/>
          <a:ext cx="231322" cy="1229221"/>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15</xdr:col>
      <xdr:colOff>119290</xdr:colOff>
      <xdr:row>29</xdr:row>
      <xdr:rowOff>55090</xdr:rowOff>
    </xdr:from>
    <xdr:ext cx="397782" cy="1248021"/>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9059183" y="6926697"/>
          <a:ext cx="397782" cy="1248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noAutofit/>
        </a:bodyPr>
        <a:lstStyle/>
        <a:p>
          <a:r>
            <a:rPr kumimoji="1" lang="ja-JP" altLang="en-US" sz="1100"/>
            <a:t>受入費</a:t>
          </a:r>
        </a:p>
      </xdr:txBody>
    </xdr:sp>
    <xdr:clientData/>
  </xdr:oneCellAnchor>
  <xdr:twoCellAnchor editAs="oneCell">
    <xdr:from>
      <xdr:col>15</xdr:col>
      <xdr:colOff>201997</xdr:colOff>
      <xdr:row>37</xdr:row>
      <xdr:rowOff>37906</xdr:rowOff>
    </xdr:from>
    <xdr:to>
      <xdr:col>15</xdr:col>
      <xdr:colOff>554717</xdr:colOff>
      <xdr:row>45</xdr:row>
      <xdr:rowOff>105682</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9141890" y="8868942"/>
          <a:ext cx="352720" cy="1972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lstStyle/>
        <a:p>
          <a:r>
            <a:rPr kumimoji="1" lang="ja-JP" altLang="en-US" sz="1100"/>
            <a:t>研修費・附帯費</a:t>
          </a:r>
        </a:p>
      </xdr:txBody>
    </xdr:sp>
    <xdr:clientData/>
  </xdr:twoCellAnchor>
  <xdr:twoCellAnchor>
    <xdr:from>
      <xdr:col>19</xdr:col>
      <xdr:colOff>25399</xdr:colOff>
      <xdr:row>24</xdr:row>
      <xdr:rowOff>200931</xdr:rowOff>
    </xdr:from>
    <xdr:to>
      <xdr:col>19</xdr:col>
      <xdr:colOff>371928</xdr:colOff>
      <xdr:row>24</xdr:row>
      <xdr:rowOff>200931</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bwMode="auto">
        <a:xfrm>
          <a:off x="11877220" y="5888717"/>
          <a:ext cx="346529"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25399</xdr:colOff>
      <xdr:row>24</xdr:row>
      <xdr:rowOff>200931</xdr:rowOff>
    </xdr:from>
    <xdr:to>
      <xdr:col>19</xdr:col>
      <xdr:colOff>365578</xdr:colOff>
      <xdr:row>24</xdr:row>
      <xdr:rowOff>200931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bwMode="auto">
        <a:xfrm>
          <a:off x="11877220" y="5888717"/>
          <a:ext cx="340179"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tx1"/>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42181</xdr:colOff>
      <xdr:row>29</xdr:row>
      <xdr:rowOff>238578</xdr:rowOff>
    </xdr:from>
    <xdr:to>
      <xdr:col>19</xdr:col>
      <xdr:colOff>382360</xdr:colOff>
      <xdr:row>29</xdr:row>
      <xdr:rowOff>238578</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bwMode="auto">
        <a:xfrm>
          <a:off x="11894002" y="7110185"/>
          <a:ext cx="340179"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tx1"/>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18142</xdr:colOff>
      <xdr:row>38</xdr:row>
      <xdr:rowOff>31296</xdr:rowOff>
    </xdr:from>
    <xdr:to>
      <xdr:col>19</xdr:col>
      <xdr:colOff>351971</xdr:colOff>
      <xdr:row>38</xdr:row>
      <xdr:rowOff>31296</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bwMode="auto">
        <a:xfrm>
          <a:off x="11869963" y="9107260"/>
          <a:ext cx="333829"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tx1"/>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19</xdr:col>
      <xdr:colOff>31749</xdr:colOff>
      <xdr:row>43</xdr:row>
      <xdr:rowOff>218621</xdr:rowOff>
    </xdr:from>
    <xdr:to>
      <xdr:col>19</xdr:col>
      <xdr:colOff>365578</xdr:colOff>
      <xdr:row>43</xdr:row>
      <xdr:rowOff>218621</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bwMode="auto">
        <a:xfrm>
          <a:off x="11883570" y="10437585"/>
          <a:ext cx="333829"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tx1"/>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22</xdr:col>
      <xdr:colOff>26308</xdr:colOff>
      <xdr:row>28</xdr:row>
      <xdr:rowOff>10432</xdr:rowOff>
    </xdr:from>
    <xdr:to>
      <xdr:col>22</xdr:col>
      <xdr:colOff>231321</xdr:colOff>
      <xdr:row>30</xdr:row>
      <xdr:rowOff>0</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bwMode="auto">
        <a:xfrm>
          <a:off x="13810344" y="6637111"/>
          <a:ext cx="205013" cy="479425"/>
        </a:xfrm>
        <a:prstGeom prst="rightBrace">
          <a:avLst/>
        </a:prstGeom>
        <a:solidFill>
          <a:srgbClr xmlns:mc="http://schemas.openxmlformats.org/markup-compatibility/2006" xmlns:a14="http://schemas.microsoft.com/office/drawing/2010/main" val="FFFFFF" mc:Ignorable="a14" a14:legacySpreadsheetColorIndex="65"/>
        </a:solidFill>
        <a:ln w="12700" cap="flat" cmpd="sng" algn="ctr">
          <a:solidFill>
            <a:srgbClr val="0000FF"/>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36739</xdr:colOff>
      <xdr:row>35</xdr:row>
      <xdr:rowOff>27214</xdr:rowOff>
    </xdr:from>
    <xdr:to>
      <xdr:col>22</xdr:col>
      <xdr:colOff>190500</xdr:colOff>
      <xdr:row>37</xdr:row>
      <xdr:rowOff>149679</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bwMode="auto">
        <a:xfrm>
          <a:off x="13820775" y="8368393"/>
          <a:ext cx="153761" cy="612322"/>
        </a:xfrm>
        <a:prstGeom prst="rightBrace">
          <a:avLst/>
        </a:prstGeom>
        <a:solidFill>
          <a:srgbClr xmlns:mc="http://schemas.openxmlformats.org/markup-compatibility/2006" xmlns:a14="http://schemas.microsoft.com/office/drawing/2010/main" val="FFFFFF" mc:Ignorable="a14" a14:legacySpreadsheetColorIndex="65"/>
        </a:solidFill>
        <a:ln w="12700" cap="flat" cmpd="sng" algn="ctr">
          <a:solidFill>
            <a:srgbClr val="0000FF"/>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33565</xdr:colOff>
      <xdr:row>41</xdr:row>
      <xdr:rowOff>64861</xdr:rowOff>
    </xdr:from>
    <xdr:to>
      <xdr:col>22</xdr:col>
      <xdr:colOff>224971</xdr:colOff>
      <xdr:row>43</xdr:row>
      <xdr:rowOff>196851</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bwMode="auto">
        <a:xfrm>
          <a:off x="13817601" y="9793968"/>
          <a:ext cx="191406" cy="621847"/>
        </a:xfrm>
        <a:prstGeom prst="rightBrace">
          <a:avLst/>
        </a:prstGeom>
        <a:solidFill>
          <a:srgbClr xmlns:mc="http://schemas.openxmlformats.org/markup-compatibility/2006" xmlns:a14="http://schemas.microsoft.com/office/drawing/2010/main" val="FFFFFF" mc:Ignorable="a14" a14:legacySpreadsheetColorIndex="65"/>
        </a:solidFill>
        <a:ln w="12700" cap="flat" cmpd="sng" algn="ctr">
          <a:solidFill>
            <a:srgbClr val="0000FF"/>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231321</xdr:colOff>
      <xdr:row>28</xdr:row>
      <xdr:rowOff>160110</xdr:rowOff>
    </xdr:from>
    <xdr:to>
      <xdr:col>22</xdr:col>
      <xdr:colOff>867682</xdr:colOff>
      <xdr:row>29</xdr:row>
      <xdr:rowOff>3629</xdr:rowOff>
    </xdr:to>
    <xdr:cxnSp macro="">
      <xdr:nvCxnSpPr>
        <xdr:cNvPr id="12" name="直線コネクタ 11">
          <a:extLst>
            <a:ext uri="{FF2B5EF4-FFF2-40B4-BE49-F238E27FC236}">
              <a16:creationId xmlns:a16="http://schemas.microsoft.com/office/drawing/2014/main" id="{00000000-0008-0000-0000-00000C000000}"/>
            </a:ext>
          </a:extLst>
        </xdr:cNvPr>
        <xdr:cNvCxnSpPr>
          <a:stCxn id="8" idx="1"/>
        </xdr:cNvCxnSpPr>
      </xdr:nvCxnSpPr>
      <xdr:spPr bwMode="auto">
        <a:xfrm flipV="1">
          <a:off x="14015357" y="6786789"/>
          <a:ext cx="636361" cy="8844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0000FF"/>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22</xdr:col>
      <xdr:colOff>190500</xdr:colOff>
      <xdr:row>28</xdr:row>
      <xdr:rowOff>190500</xdr:rowOff>
    </xdr:from>
    <xdr:to>
      <xdr:col>22</xdr:col>
      <xdr:colOff>911678</xdr:colOff>
      <xdr:row>36</xdr:row>
      <xdr:rowOff>90035</xdr:rowOff>
    </xdr:to>
    <xdr:cxnSp macro="">
      <xdr:nvCxnSpPr>
        <xdr:cNvPr id="13" name="直線コネクタ 12">
          <a:extLst>
            <a:ext uri="{FF2B5EF4-FFF2-40B4-BE49-F238E27FC236}">
              <a16:creationId xmlns:a16="http://schemas.microsoft.com/office/drawing/2014/main" id="{00000000-0008-0000-0000-00000D000000}"/>
            </a:ext>
          </a:extLst>
        </xdr:cNvPr>
        <xdr:cNvCxnSpPr>
          <a:stCxn id="9" idx="1"/>
        </xdr:cNvCxnSpPr>
      </xdr:nvCxnSpPr>
      <xdr:spPr bwMode="auto">
        <a:xfrm flipV="1">
          <a:off x="13974536" y="6817179"/>
          <a:ext cx="721178" cy="1858963"/>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0000FF"/>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16781</xdr:colOff>
      <xdr:row>50</xdr:row>
      <xdr:rowOff>228147</xdr:rowOff>
    </xdr:from>
    <xdr:to>
      <xdr:col>20</xdr:col>
      <xdr:colOff>646792</xdr:colOff>
      <xdr:row>52</xdr:row>
      <xdr:rowOff>68036</xdr:rowOff>
    </xdr:to>
    <xdr:sp macro="" textlink="">
      <xdr:nvSpPr>
        <xdr:cNvPr id="15" name="矢印: 左右 14">
          <a:extLst>
            <a:ext uri="{FF2B5EF4-FFF2-40B4-BE49-F238E27FC236}">
              <a16:creationId xmlns:a16="http://schemas.microsoft.com/office/drawing/2014/main" id="{00000000-0008-0000-0000-00000F000000}"/>
            </a:ext>
          </a:extLst>
        </xdr:cNvPr>
        <xdr:cNvSpPr/>
      </xdr:nvSpPr>
      <xdr:spPr bwMode="auto">
        <a:xfrm>
          <a:off x="12167960" y="12161611"/>
          <a:ext cx="630011" cy="329746"/>
        </a:xfrm>
        <a:prstGeom prst="lef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856117</xdr:colOff>
      <xdr:row>30</xdr:row>
      <xdr:rowOff>152099</xdr:rowOff>
    </xdr:from>
    <xdr:to>
      <xdr:col>25</xdr:col>
      <xdr:colOff>34019</xdr:colOff>
      <xdr:row>31</xdr:row>
      <xdr:rowOff>129343</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14708188" y="7078135"/>
          <a:ext cx="2008188" cy="22217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t" upright="1"/>
        <a:lstStyle/>
        <a:p>
          <a:pPr algn="l"/>
          <a:r>
            <a:rPr kumimoji="1" lang="ja-JP" altLang="en-US" sz="900">
              <a:solidFill>
                <a:sysClr val="windowText" lastClr="000000"/>
              </a:solidFill>
            </a:rPr>
            <a:t>（注：端数処理の関係で誤差があります）</a:t>
          </a:r>
        </a:p>
      </xdr:txBody>
    </xdr:sp>
    <xdr:clientData/>
  </xdr:twoCellAnchor>
  <xdr:twoCellAnchor>
    <xdr:from>
      <xdr:col>24</xdr:col>
      <xdr:colOff>179295</xdr:colOff>
      <xdr:row>45</xdr:row>
      <xdr:rowOff>123265</xdr:rowOff>
    </xdr:from>
    <xdr:to>
      <xdr:col>25</xdr:col>
      <xdr:colOff>616324</xdr:colOff>
      <xdr:row>49</xdr:row>
      <xdr:rowOff>156881</xdr:rowOff>
    </xdr:to>
    <xdr:sp macro="" textlink="">
      <xdr:nvSpPr>
        <xdr:cNvPr id="6" name="吹き出し: 四角形 5">
          <a:extLst>
            <a:ext uri="{FF2B5EF4-FFF2-40B4-BE49-F238E27FC236}">
              <a16:creationId xmlns:a16="http://schemas.microsoft.com/office/drawing/2014/main" id="{00000000-0008-0000-0000-000006000000}"/>
            </a:ext>
          </a:extLst>
        </xdr:cNvPr>
        <xdr:cNvSpPr/>
      </xdr:nvSpPr>
      <xdr:spPr bwMode="auto">
        <a:xfrm>
          <a:off x="17189824" y="10365441"/>
          <a:ext cx="1602441" cy="974911"/>
        </a:xfrm>
        <a:prstGeom prst="wedgeRectCallout">
          <a:avLst>
            <a:gd name="adj1" fmla="val -76965"/>
            <a:gd name="adj2" fmla="val 3875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50"/>
            <a:t>受入費分担金は毎月、精算します。</a:t>
          </a:r>
          <a:endParaRPr kumimoji="1" lang="en-US" altLang="ja-JP" sz="1050"/>
        </a:p>
        <a:p>
          <a:pPr algn="l"/>
          <a:r>
            <a:rPr kumimoji="1" lang="ja-JP" altLang="en-US" sz="1050"/>
            <a:t>研修実施分担金は来日月に請求いたします。</a:t>
          </a:r>
        </a:p>
      </xdr:txBody>
    </xdr:sp>
    <xdr:clientData/>
  </xdr:twoCellAnchor>
  <xdr:twoCellAnchor>
    <xdr:from>
      <xdr:col>23</xdr:col>
      <xdr:colOff>243355</xdr:colOff>
      <xdr:row>52</xdr:row>
      <xdr:rowOff>128121</xdr:rowOff>
    </xdr:from>
    <xdr:to>
      <xdr:col>25</xdr:col>
      <xdr:colOff>683559</xdr:colOff>
      <xdr:row>61</xdr:row>
      <xdr:rowOff>123266</xdr:rowOff>
    </xdr:to>
    <xdr:sp macro="" textlink="">
      <xdr:nvSpPr>
        <xdr:cNvPr id="14" name="吹き出し: 四角形 13">
          <a:extLst>
            <a:ext uri="{FF2B5EF4-FFF2-40B4-BE49-F238E27FC236}">
              <a16:creationId xmlns:a16="http://schemas.microsoft.com/office/drawing/2014/main" id="{00000000-0008-0000-0000-00000E000000}"/>
            </a:ext>
          </a:extLst>
        </xdr:cNvPr>
        <xdr:cNvSpPr/>
      </xdr:nvSpPr>
      <xdr:spPr bwMode="auto">
        <a:xfrm>
          <a:off x="15023914" y="12028768"/>
          <a:ext cx="2311586" cy="1967380"/>
        </a:xfrm>
        <a:prstGeom prst="wedgeRectCallout">
          <a:avLst>
            <a:gd name="adj1" fmla="val -48539"/>
            <a:gd name="adj2" fmla="val 34155"/>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050"/>
            <a:t>※</a:t>
          </a:r>
        </a:p>
        <a:p>
          <a:pPr algn="l"/>
          <a:r>
            <a:rPr kumimoji="1" lang="ja-JP" altLang="en-US" sz="1050"/>
            <a:t>研修生到着後にご提出頂く「研修生到着・受入通知並びに受入費申請書」に</a:t>
          </a:r>
        </a:p>
        <a:p>
          <a:pPr algn="l"/>
          <a:r>
            <a:rPr kumimoji="1" lang="ja-JP" altLang="en-US" sz="1050"/>
            <a:t>「申請金額から受入分担金・研修実施分担金を差し引くことを　</a:t>
          </a:r>
          <a:r>
            <a:rPr kumimoji="1" lang="en-US" altLang="ja-JP" sz="1050"/>
            <a:t>&lt;</a:t>
          </a:r>
          <a:r>
            <a:rPr kumimoji="1" lang="ja-JP" altLang="en-US" sz="1050"/>
            <a:t>希望します＞</a:t>
          </a:r>
          <a:r>
            <a:rPr kumimoji="1" lang="en-US" altLang="ja-JP" sz="1050"/>
            <a:t>/&lt;</a:t>
          </a:r>
          <a:r>
            <a:rPr kumimoji="1" lang="ja-JP" altLang="en-US" sz="1050"/>
            <a:t>希望しない</a:t>
          </a:r>
          <a:r>
            <a:rPr kumimoji="1" lang="en-US" altLang="ja-JP" sz="1050"/>
            <a:t>&gt;</a:t>
          </a:r>
          <a:r>
            <a:rPr kumimoji="1" lang="ja-JP" altLang="en-US" sz="1050"/>
            <a:t>」を選択する欄があります。</a:t>
          </a:r>
        </a:p>
        <a:p>
          <a:pPr algn="l"/>
          <a:r>
            <a:rPr kumimoji="1" lang="ja-JP" altLang="en-US" sz="1050"/>
            <a:t>「希望する」を選択すると、</a:t>
          </a:r>
          <a:r>
            <a:rPr kumimoji="1" lang="en-US" altLang="ja-JP" sz="1050"/>
            <a:t>AOTS</a:t>
          </a:r>
          <a:r>
            <a:rPr kumimoji="1" lang="ja-JP" altLang="en-US" sz="1050"/>
            <a:t>から受入企業への支払いと、企業から</a:t>
          </a:r>
          <a:r>
            <a:rPr kumimoji="1" lang="en-US" altLang="ja-JP" sz="1050"/>
            <a:t>AOTS</a:t>
          </a:r>
          <a:r>
            <a:rPr kumimoji="1" lang="ja-JP" altLang="en-US" sz="1050"/>
            <a:t>への支払い（＝分担金の支払い）を相殺し精算します。</a:t>
          </a:r>
        </a:p>
      </xdr:txBody>
    </xdr:sp>
    <xdr:clientData/>
  </xdr:twoCellAnchor>
  <xdr:twoCellAnchor>
    <xdr:from>
      <xdr:col>22</xdr:col>
      <xdr:colOff>336176</xdr:colOff>
      <xdr:row>43</xdr:row>
      <xdr:rowOff>44824</xdr:rowOff>
    </xdr:from>
    <xdr:to>
      <xdr:col>22</xdr:col>
      <xdr:colOff>773206</xdr:colOff>
      <xdr:row>43</xdr:row>
      <xdr:rowOff>44824</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bwMode="auto">
        <a:xfrm>
          <a:off x="14164235" y="9827559"/>
          <a:ext cx="437030"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val="0000FF"/>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27</xdr:col>
      <xdr:colOff>128121</xdr:colOff>
      <xdr:row>45</xdr:row>
      <xdr:rowOff>108884</xdr:rowOff>
    </xdr:from>
    <xdr:to>
      <xdr:col>33</xdr:col>
      <xdr:colOff>310590</xdr:colOff>
      <xdr:row>58</xdr:row>
      <xdr:rowOff>201706</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17528615" y="10239002"/>
          <a:ext cx="6269504" cy="3122892"/>
          <a:chOff x="17601266" y="9406591"/>
          <a:chExt cx="6384178" cy="3155203"/>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17820527" y="9726707"/>
            <a:ext cx="5803900" cy="2540000"/>
            <a:chOff x="38100" y="16598900"/>
            <a:chExt cx="5816600" cy="2546350"/>
          </a:xfrm>
        </xdr:grpSpPr>
        <xdr:sp macro="" textlink="">
          <xdr:nvSpPr>
            <xdr:cNvPr id="17" name="吹き出し: 角を丸めた四角形 16">
              <a:extLst>
                <a:ext uri="{FF2B5EF4-FFF2-40B4-BE49-F238E27FC236}">
                  <a16:creationId xmlns:a16="http://schemas.microsoft.com/office/drawing/2014/main" id="{00000000-0008-0000-0000-000011000000}"/>
                </a:ext>
              </a:extLst>
            </xdr:cNvPr>
            <xdr:cNvSpPr/>
          </xdr:nvSpPr>
          <xdr:spPr bwMode="auto">
            <a:xfrm>
              <a:off x="184149" y="16598900"/>
              <a:ext cx="5607051" cy="460376"/>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｛企業立替額</a:t>
              </a:r>
              <a:r>
                <a:rPr lang="en-US" altLang="ja-JP" sz="1100">
                  <a:effectLst/>
                  <a:latin typeface="+mn-lt"/>
                  <a:ea typeface="+mn-ea"/>
                  <a:cs typeface="+mn-cs"/>
                </a:rPr>
                <a:t> - </a:t>
              </a:r>
              <a:r>
                <a:rPr lang="ja-JP" altLang="ja-JP" sz="1100">
                  <a:effectLst/>
                  <a:latin typeface="+mn-lt"/>
                  <a:ea typeface="+mn-ea"/>
                  <a:cs typeface="+mn-cs"/>
                </a:rPr>
                <a:t>企業立替額</a:t>
              </a:r>
              <a:r>
                <a:rPr lang="en-US" altLang="ja-JP" sz="1100">
                  <a:effectLst/>
                  <a:latin typeface="+mn-lt"/>
                  <a:ea typeface="+mn-ea"/>
                  <a:cs typeface="+mn-cs"/>
                </a:rPr>
                <a:t>×</a:t>
              </a:r>
              <a:r>
                <a:rPr lang="ja-JP" altLang="ja-JP" sz="1100">
                  <a:effectLst/>
                  <a:latin typeface="+mn-lt"/>
                  <a:ea typeface="+mn-ea"/>
                  <a:cs typeface="+mn-cs"/>
                </a:rPr>
                <a:t>（</a:t>
              </a:r>
              <a:r>
                <a:rPr lang="en-US" altLang="ja-JP" sz="1100">
                  <a:effectLst/>
                  <a:latin typeface="+mn-lt"/>
                  <a:ea typeface="+mn-ea"/>
                  <a:cs typeface="+mn-cs"/>
                </a:rPr>
                <a:t>1-</a:t>
              </a:r>
              <a:r>
                <a:rPr lang="ja-JP" altLang="ja-JP" sz="1100">
                  <a:effectLst/>
                  <a:latin typeface="+mn-lt"/>
                  <a:ea typeface="+mn-ea"/>
                  <a:cs typeface="+mn-cs"/>
                </a:rPr>
                <a:t>補助率）｝</a:t>
              </a:r>
              <a:r>
                <a:rPr lang="en-US" altLang="ja-JP" sz="1100">
                  <a:effectLst/>
                  <a:latin typeface="+mn-lt"/>
                  <a:ea typeface="+mn-ea"/>
                  <a:cs typeface="+mn-cs"/>
                </a:rPr>
                <a:t>―</a:t>
              </a:r>
              <a:r>
                <a:rPr lang="ja-JP" altLang="ja-JP" sz="1100">
                  <a:effectLst/>
                  <a:latin typeface="+mn-lt"/>
                  <a:ea typeface="+mn-ea"/>
                  <a:cs typeface="+mn-cs"/>
                </a:rPr>
                <a:t>｛</a:t>
              </a:r>
              <a:r>
                <a:rPr lang="en-US" altLang="ja-JP" sz="1100">
                  <a:effectLst/>
                  <a:latin typeface="+mn-lt"/>
                  <a:ea typeface="+mn-ea"/>
                  <a:cs typeface="+mn-cs"/>
                </a:rPr>
                <a:t>AOTS</a:t>
              </a:r>
              <a:r>
                <a:rPr lang="ja-JP" altLang="ja-JP" sz="1100">
                  <a:effectLst/>
                  <a:latin typeface="+mn-lt"/>
                  <a:ea typeface="+mn-ea"/>
                  <a:cs typeface="+mn-cs"/>
                </a:rPr>
                <a:t>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 ―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p>
          </xdr:txBody>
        </xdr:sp>
        <xdr:sp macro="" textlink="">
          <xdr:nvSpPr>
            <xdr:cNvPr id="18" name="吹き出し: 角を丸めた四角形 17">
              <a:extLst>
                <a:ext uri="{FF2B5EF4-FFF2-40B4-BE49-F238E27FC236}">
                  <a16:creationId xmlns:a16="http://schemas.microsoft.com/office/drawing/2014/main" id="{00000000-0008-0000-0000-000012000000}"/>
                </a:ext>
              </a:extLst>
            </xdr:cNvPr>
            <xdr:cNvSpPr/>
          </xdr:nvSpPr>
          <xdr:spPr bwMode="auto">
            <a:xfrm>
              <a:off x="396875" y="17065624"/>
              <a:ext cx="1584695" cy="623373"/>
            </a:xfrm>
            <a:prstGeom prst="wedgeRoundRectCallout">
              <a:avLst>
                <a:gd name="adj1" fmla="val -48624"/>
                <a:gd name="adj2" fmla="val -20792"/>
                <a:gd name="adj3" fmla="val 16667"/>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r>
                <a:rPr kumimoji="1" lang="ja-JP" altLang="ja-JP" sz="1100">
                  <a:effectLst/>
                  <a:latin typeface="+mn-lt"/>
                  <a:ea typeface="+mn-ea"/>
                  <a:cs typeface="+mn-cs"/>
                </a:rPr>
                <a:t>企業が立替えた額のうち、</a:t>
              </a:r>
              <a:endParaRPr lang="ja-JP" altLang="ja-JP" sz="900">
                <a:effectLst/>
              </a:endParaRPr>
            </a:p>
            <a:p>
              <a:r>
                <a:rPr kumimoji="1" lang="ja-JP" altLang="ja-JP" sz="1100">
                  <a:effectLst/>
                  <a:latin typeface="+mn-lt"/>
                  <a:ea typeface="+mn-ea"/>
                  <a:cs typeface="+mn-cs"/>
                </a:rPr>
                <a:t>企業が補助金を受け取る部分</a:t>
              </a:r>
              <a:endParaRPr lang="ja-JP" altLang="ja-JP" sz="900">
                <a:effectLst/>
              </a:endParaRPr>
            </a:p>
          </xdr:txBody>
        </xdr:sp>
        <xdr:cxnSp macro="">
          <xdr:nvCxnSpPr>
            <xdr:cNvPr id="19" name="直線コネクタ 18">
              <a:extLst>
                <a:ext uri="{FF2B5EF4-FFF2-40B4-BE49-F238E27FC236}">
                  <a16:creationId xmlns:a16="http://schemas.microsoft.com/office/drawing/2014/main" id="{00000000-0008-0000-0000-000013000000}"/>
                </a:ext>
              </a:extLst>
            </xdr:cNvPr>
            <xdr:cNvCxnSpPr/>
          </xdr:nvCxnSpPr>
          <xdr:spPr bwMode="auto">
            <a:xfrm>
              <a:off x="381000" y="17002125"/>
              <a:ext cx="2219325" cy="0"/>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xnSp macro="">
          <xdr:nvCxnSpPr>
            <xdr:cNvPr id="20" name="直線コネクタ 19">
              <a:extLst>
                <a:ext uri="{FF2B5EF4-FFF2-40B4-BE49-F238E27FC236}">
                  <a16:creationId xmlns:a16="http://schemas.microsoft.com/office/drawing/2014/main" id="{00000000-0008-0000-0000-000014000000}"/>
                </a:ext>
              </a:extLst>
            </xdr:cNvPr>
            <xdr:cNvCxnSpPr/>
          </xdr:nvCxnSpPr>
          <xdr:spPr bwMode="auto">
            <a:xfrm>
              <a:off x="2930525" y="17002125"/>
              <a:ext cx="1428750" cy="0"/>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22" name="吹き出し: 角を丸めた四角形 21">
              <a:extLst>
                <a:ext uri="{FF2B5EF4-FFF2-40B4-BE49-F238E27FC236}">
                  <a16:creationId xmlns:a16="http://schemas.microsoft.com/office/drawing/2014/main" id="{00000000-0008-0000-0000-000016000000}"/>
                </a:ext>
              </a:extLst>
            </xdr:cNvPr>
            <xdr:cNvSpPr/>
          </xdr:nvSpPr>
          <xdr:spPr bwMode="auto">
            <a:xfrm>
              <a:off x="2854325" y="17068800"/>
              <a:ext cx="1473199" cy="517524"/>
            </a:xfrm>
            <a:prstGeom prst="wedgeRoundRectCallout">
              <a:avLst>
                <a:gd name="adj1" fmla="val -48624"/>
                <a:gd name="adj2" fmla="val -20792"/>
                <a:gd name="adj3" fmla="val 16667"/>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r>
                <a:rPr kumimoji="1" lang="en-US" altLang="ja-JP" sz="900">
                  <a:effectLst/>
                  <a:latin typeface="+mn-lt"/>
                  <a:ea typeface="+mn-ea"/>
                  <a:cs typeface="+mn-cs"/>
                </a:rPr>
                <a:t>AOTS</a:t>
              </a:r>
              <a:r>
                <a:rPr kumimoji="1" lang="ja-JP" altLang="ja-JP" sz="900">
                  <a:effectLst/>
                  <a:latin typeface="+mn-lt"/>
                  <a:ea typeface="+mn-ea"/>
                  <a:cs typeface="+mn-cs"/>
                </a:rPr>
                <a:t>が立替えをしているもののうち、補助金以外の部分＝企業負担の部分</a:t>
              </a:r>
              <a:endParaRPr lang="ja-JP" altLang="ja-JP" sz="900">
                <a:effectLst/>
              </a:endParaRPr>
            </a:p>
          </xdr:txBody>
        </xdr:sp>
        <xdr:sp macro="" textlink="">
          <xdr:nvSpPr>
            <xdr:cNvPr id="23" name="吹き出し: 角を丸めた四角形 22">
              <a:extLst>
                <a:ext uri="{FF2B5EF4-FFF2-40B4-BE49-F238E27FC236}">
                  <a16:creationId xmlns:a16="http://schemas.microsoft.com/office/drawing/2014/main" id="{00000000-0008-0000-0000-000017000000}"/>
                </a:ext>
              </a:extLst>
            </xdr:cNvPr>
            <xdr:cNvSpPr/>
          </xdr:nvSpPr>
          <xdr:spPr bwMode="auto">
            <a:xfrm>
              <a:off x="4591051" y="17113250"/>
              <a:ext cx="1006475" cy="485775"/>
            </a:xfrm>
            <a:prstGeom prst="wedgeRoundRectCallout">
              <a:avLst>
                <a:gd name="adj1" fmla="val -48624"/>
                <a:gd name="adj2" fmla="val -20792"/>
                <a:gd name="adj3" fmla="val 16667"/>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研修費、附帯費のうち、補助金以外＝企業負担部分</a:t>
              </a:r>
            </a:p>
          </xdr:txBody>
        </xdr:sp>
        <xdr:cxnSp macro="">
          <xdr:nvCxnSpPr>
            <xdr:cNvPr id="24" name="直線コネクタ 23">
              <a:extLst>
                <a:ext uri="{FF2B5EF4-FFF2-40B4-BE49-F238E27FC236}">
                  <a16:creationId xmlns:a16="http://schemas.microsoft.com/office/drawing/2014/main" id="{00000000-0008-0000-0000-000018000000}"/>
                </a:ext>
              </a:extLst>
            </xdr:cNvPr>
            <xdr:cNvCxnSpPr/>
          </xdr:nvCxnSpPr>
          <xdr:spPr bwMode="auto">
            <a:xfrm>
              <a:off x="4749800" y="16970375"/>
              <a:ext cx="879475" cy="317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25" name="吹き出し: 角を丸めた四角形 24">
              <a:extLst>
                <a:ext uri="{FF2B5EF4-FFF2-40B4-BE49-F238E27FC236}">
                  <a16:creationId xmlns:a16="http://schemas.microsoft.com/office/drawing/2014/main" id="{00000000-0008-0000-0000-000019000000}"/>
                </a:ext>
              </a:extLst>
            </xdr:cNvPr>
            <xdr:cNvSpPr/>
          </xdr:nvSpPr>
          <xdr:spPr bwMode="auto">
            <a:xfrm>
              <a:off x="76200" y="17545050"/>
              <a:ext cx="5778500" cy="596900"/>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a:t>
              </a:r>
              <a:r>
                <a:rPr lang="ja-JP" altLang="ja-JP" sz="1100">
                  <a:effectLst/>
                  <a:latin typeface="+mn-lt"/>
                  <a:ea typeface="+mn-ea"/>
                  <a:cs typeface="+mn-cs"/>
                </a:rPr>
                <a:t>｛企業立替額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AOTS</a:t>
              </a:r>
              <a:r>
                <a:rPr lang="ja-JP" altLang="ja-JP" sz="1100">
                  <a:effectLst/>
                  <a:latin typeface="+mn-lt"/>
                  <a:ea typeface="+mn-ea"/>
                  <a:cs typeface="+mn-cs"/>
                </a:rPr>
                <a:t>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endParaRPr lang="ja-JP" altLang="ja-JP">
                <a:effectLst/>
              </a:endParaRPr>
            </a:p>
          </xdr:txBody>
        </xdr:sp>
        <xdr:cxnSp macro="">
          <xdr:nvCxnSpPr>
            <xdr:cNvPr id="26" name="直線コネクタ 25">
              <a:extLst>
                <a:ext uri="{FF2B5EF4-FFF2-40B4-BE49-F238E27FC236}">
                  <a16:creationId xmlns:a16="http://schemas.microsoft.com/office/drawing/2014/main" id="{00000000-0008-0000-0000-00001A000000}"/>
                </a:ext>
              </a:extLst>
            </xdr:cNvPr>
            <xdr:cNvCxnSpPr/>
          </xdr:nvCxnSpPr>
          <xdr:spPr bwMode="auto">
            <a:xfrm>
              <a:off x="1285875" y="18018125"/>
              <a:ext cx="2895600" cy="952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27" name="吹き出し: 角を丸めた四角形 26">
              <a:extLst>
                <a:ext uri="{FF2B5EF4-FFF2-40B4-BE49-F238E27FC236}">
                  <a16:creationId xmlns:a16="http://schemas.microsoft.com/office/drawing/2014/main" id="{00000000-0008-0000-0000-00001B000000}"/>
                </a:ext>
              </a:extLst>
            </xdr:cNvPr>
            <xdr:cNvSpPr/>
          </xdr:nvSpPr>
          <xdr:spPr bwMode="auto">
            <a:xfrm>
              <a:off x="1806575" y="18107025"/>
              <a:ext cx="1289050" cy="273050"/>
            </a:xfrm>
            <a:prstGeom prst="wedgeRoundRectCallout">
              <a:avLst>
                <a:gd name="adj1" fmla="val -48624"/>
                <a:gd name="adj2" fmla="val -20792"/>
                <a:gd name="adj3" fmla="val 16667"/>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900"/>
                <a:t>受入分担金</a:t>
              </a:r>
            </a:p>
          </xdr:txBody>
        </xdr:sp>
        <xdr:cxnSp macro="">
          <xdr:nvCxnSpPr>
            <xdr:cNvPr id="28" name="直線コネクタ 27">
              <a:extLst>
                <a:ext uri="{FF2B5EF4-FFF2-40B4-BE49-F238E27FC236}">
                  <a16:creationId xmlns:a16="http://schemas.microsoft.com/office/drawing/2014/main" id="{00000000-0008-0000-0000-00001C000000}"/>
                </a:ext>
              </a:extLst>
            </xdr:cNvPr>
            <xdr:cNvCxnSpPr/>
          </xdr:nvCxnSpPr>
          <xdr:spPr bwMode="auto">
            <a:xfrm>
              <a:off x="4616450" y="18008600"/>
              <a:ext cx="847725" cy="317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29" name="吹き出し: 角を丸めた四角形 28">
              <a:extLst>
                <a:ext uri="{FF2B5EF4-FFF2-40B4-BE49-F238E27FC236}">
                  <a16:creationId xmlns:a16="http://schemas.microsoft.com/office/drawing/2014/main" id="{00000000-0008-0000-0000-00001D000000}"/>
                </a:ext>
              </a:extLst>
            </xdr:cNvPr>
            <xdr:cNvSpPr/>
          </xdr:nvSpPr>
          <xdr:spPr bwMode="auto">
            <a:xfrm>
              <a:off x="57150" y="18459450"/>
              <a:ext cx="5426075" cy="406400"/>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a:t>
              </a:r>
              <a:r>
                <a:rPr lang="ja-JP" altLang="en-US" sz="1100">
                  <a:effectLst/>
                  <a:latin typeface="+mn-lt"/>
                  <a:ea typeface="+mn-ea"/>
                  <a:cs typeface="+mn-cs"/>
                </a:rPr>
                <a:t>受入分担金</a:t>
              </a:r>
              <a:r>
                <a:rPr lang="en-US" altLang="ja-JP" sz="1100">
                  <a:effectLst/>
                  <a:latin typeface="+mn-lt"/>
                  <a:ea typeface="+mn-ea"/>
                  <a:cs typeface="+mn-cs"/>
                </a:rPr>
                <a:t>―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endParaRPr lang="ja-JP" altLang="ja-JP">
                <a:effectLst/>
              </a:endParaRPr>
            </a:p>
          </xdr:txBody>
        </xdr:sp>
        <xdr:sp macro="" textlink="">
          <xdr:nvSpPr>
            <xdr:cNvPr id="31" name="吹き出し: 角を丸めた四角形 30">
              <a:extLst>
                <a:ext uri="{FF2B5EF4-FFF2-40B4-BE49-F238E27FC236}">
                  <a16:creationId xmlns:a16="http://schemas.microsoft.com/office/drawing/2014/main" id="{00000000-0008-0000-0000-00001F000000}"/>
                </a:ext>
              </a:extLst>
            </xdr:cNvPr>
            <xdr:cNvSpPr/>
          </xdr:nvSpPr>
          <xdr:spPr bwMode="auto">
            <a:xfrm>
              <a:off x="38100" y="18742025"/>
              <a:ext cx="5426075" cy="403225"/>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 </a:t>
              </a:r>
              <a:r>
                <a:rPr lang="ja-JP" altLang="en-US" sz="1100">
                  <a:effectLst/>
                  <a:latin typeface="+mn-lt"/>
                  <a:ea typeface="+mn-ea"/>
                  <a:cs typeface="+mn-cs"/>
                </a:rPr>
                <a:t>受入分担金＋</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r>
                <a:rPr lang="ja-JP" altLang="en-US" sz="1100">
                  <a:effectLst/>
                  <a:latin typeface="+mn-lt"/>
                  <a:ea typeface="+mn-ea"/>
                  <a:cs typeface="+mn-cs"/>
                </a:rPr>
                <a:t>）</a:t>
              </a:r>
              <a:endParaRPr lang="ja-JP" altLang="ja-JP">
                <a:effectLst/>
              </a:endParaRPr>
            </a:p>
          </xdr:txBody>
        </xdr:sp>
      </xdr:grpSp>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17601266" y="9406591"/>
            <a:ext cx="6384178" cy="3155203"/>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480060</xdr:colOff>
          <xdr:row>7</xdr:row>
          <xdr:rowOff>129540</xdr:rowOff>
        </xdr:from>
        <xdr:to>
          <xdr:col>12</xdr:col>
          <xdr:colOff>251460</xdr:colOff>
          <xdr:row>8</xdr:row>
          <xdr:rowOff>129540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12</xdr:row>
          <xdr:rowOff>76200</xdr:rowOff>
        </xdr:from>
        <xdr:to>
          <xdr:col>8</xdr:col>
          <xdr:colOff>259080</xdr:colOff>
          <xdr:row>13</xdr:row>
          <xdr:rowOff>91440</xdr:rowOff>
        </xdr:to>
        <xdr:sp macro="" textlink="">
          <xdr:nvSpPr>
            <xdr:cNvPr id="5122" name="Drop Down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510540</xdr:colOff>
          <xdr:row>6</xdr:row>
          <xdr:rowOff>0</xdr:rowOff>
        </xdr:from>
        <xdr:to>
          <xdr:col>12</xdr:col>
          <xdr:colOff>251460</xdr:colOff>
          <xdr:row>7</xdr:row>
          <xdr:rowOff>15240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9525</xdr:colOff>
      <xdr:row>3</xdr:row>
      <xdr:rowOff>104776</xdr:rowOff>
    </xdr:from>
    <xdr:to>
      <xdr:col>14</xdr:col>
      <xdr:colOff>9524</xdr:colOff>
      <xdr:row>17</xdr:row>
      <xdr:rowOff>226220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350" y="835026"/>
          <a:ext cx="8188324" cy="3458369"/>
        </a:xfrm>
        <a:prstGeom prst="rect">
          <a:avLst/>
        </a:prstGeom>
        <a:noFill/>
        <a:ln w="19050" cap="sq"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559594</xdr:colOff>
      <xdr:row>16</xdr:row>
      <xdr:rowOff>50006</xdr:rowOff>
    </xdr:from>
    <xdr:to>
      <xdr:col>13</xdr:col>
      <xdr:colOff>204788</xdr:colOff>
      <xdr:row>16</xdr:row>
      <xdr:rowOff>50006</xdr:rowOff>
    </xdr:to>
    <xdr:sp macro="" textlink="">
      <xdr:nvSpPr>
        <xdr:cNvPr id="3" name="Line 515">
          <a:extLst>
            <a:ext uri="{FF2B5EF4-FFF2-40B4-BE49-F238E27FC236}">
              <a16:creationId xmlns:a16="http://schemas.microsoft.com/office/drawing/2014/main" id="{00000000-0008-0000-0100-000003000000}"/>
            </a:ext>
          </a:extLst>
        </xdr:cNvPr>
        <xdr:cNvSpPr>
          <a:spLocks noChangeShapeType="1"/>
        </xdr:cNvSpPr>
      </xdr:nvSpPr>
      <xdr:spPr bwMode="auto">
        <a:xfrm>
          <a:off x="4534694" y="3875881"/>
          <a:ext cx="317261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248737</xdr:colOff>
      <xdr:row>33</xdr:row>
      <xdr:rowOff>0</xdr:rowOff>
    </xdr:from>
    <xdr:to>
      <xdr:col>23</xdr:col>
      <xdr:colOff>560887</xdr:colOff>
      <xdr:row>40</xdr:row>
      <xdr:rowOff>190275</xdr:rowOff>
    </xdr:to>
    <xdr:sp macro="" textlink="">
      <xdr:nvSpPr>
        <xdr:cNvPr id="4" name="右矢印 33">
          <a:extLst>
            <a:ext uri="{FF2B5EF4-FFF2-40B4-BE49-F238E27FC236}">
              <a16:creationId xmlns:a16="http://schemas.microsoft.com/office/drawing/2014/main" id="{00000000-0008-0000-0100-000004000000}"/>
            </a:ext>
          </a:extLst>
        </xdr:cNvPr>
        <xdr:cNvSpPr/>
      </xdr:nvSpPr>
      <xdr:spPr>
        <a:xfrm>
          <a:off x="13336087" y="7705725"/>
          <a:ext cx="2010775" cy="1800000"/>
        </a:xfrm>
        <a:prstGeom prst="rightArrow">
          <a:avLst>
            <a:gd name="adj1" fmla="val 50000"/>
            <a:gd name="adj2" fmla="val 49355"/>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248738</xdr:colOff>
      <xdr:row>45</xdr:row>
      <xdr:rowOff>0</xdr:rowOff>
    </xdr:from>
    <xdr:to>
      <xdr:col>23</xdr:col>
      <xdr:colOff>560888</xdr:colOff>
      <xdr:row>51</xdr:row>
      <xdr:rowOff>0</xdr:rowOff>
    </xdr:to>
    <xdr:sp macro="" textlink="">
      <xdr:nvSpPr>
        <xdr:cNvPr id="5" name="右矢印 43">
          <a:extLst>
            <a:ext uri="{FF2B5EF4-FFF2-40B4-BE49-F238E27FC236}">
              <a16:creationId xmlns:a16="http://schemas.microsoft.com/office/drawing/2014/main" id="{00000000-0008-0000-0100-000005000000}"/>
            </a:ext>
          </a:extLst>
        </xdr:cNvPr>
        <xdr:cNvSpPr/>
      </xdr:nvSpPr>
      <xdr:spPr>
        <a:xfrm rot="10800000">
          <a:off x="13336088" y="10506075"/>
          <a:ext cx="2010775" cy="1428750"/>
        </a:xfrm>
        <a:prstGeom prst="rightArrow">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171450</xdr:colOff>
      <xdr:row>36</xdr:row>
      <xdr:rowOff>195262</xdr:rowOff>
    </xdr:from>
    <xdr:to>
      <xdr:col>14</xdr:col>
      <xdr:colOff>108450</xdr:colOff>
      <xdr:row>38</xdr:row>
      <xdr:rowOff>208162</xdr:rowOff>
    </xdr:to>
    <xdr:sp macro="" textlink="">
      <xdr:nvSpPr>
        <xdr:cNvPr id="6" name="AutoShape 60">
          <a:extLst>
            <a:ext uri="{FF2B5EF4-FFF2-40B4-BE49-F238E27FC236}">
              <a16:creationId xmlns:a16="http://schemas.microsoft.com/office/drawing/2014/main" id="{00000000-0008-0000-0100-000006000000}"/>
            </a:ext>
          </a:extLst>
        </xdr:cNvPr>
        <xdr:cNvSpPr>
          <a:spLocks noChangeArrowheads="1"/>
        </xdr:cNvSpPr>
      </xdr:nvSpPr>
      <xdr:spPr bwMode="auto">
        <a:xfrm>
          <a:off x="7077075" y="8618537"/>
          <a:ext cx="1210175" cy="485975"/>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57151</xdr:colOff>
      <xdr:row>38</xdr:row>
      <xdr:rowOff>190050</xdr:rowOff>
    </xdr:from>
    <xdr:to>
      <xdr:col>13</xdr:col>
      <xdr:colOff>178595</xdr:colOff>
      <xdr:row>43</xdr:row>
      <xdr:rowOff>114300</xdr:rowOff>
    </xdr:to>
    <xdr:sp macro="" textlink="">
      <xdr:nvSpPr>
        <xdr:cNvPr id="7" name="Freeform 209">
          <a:extLst>
            <a:ext uri="{FF2B5EF4-FFF2-40B4-BE49-F238E27FC236}">
              <a16:creationId xmlns:a16="http://schemas.microsoft.com/office/drawing/2014/main" id="{00000000-0008-0000-0100-000007000000}"/>
            </a:ext>
          </a:extLst>
        </xdr:cNvPr>
        <xdr:cNvSpPr>
          <a:spLocks/>
        </xdr:cNvSpPr>
      </xdr:nvSpPr>
      <xdr:spPr bwMode="auto">
        <a:xfrm>
          <a:off x="5686426" y="9086400"/>
          <a:ext cx="2001044" cy="1057725"/>
        </a:xfrm>
        <a:custGeom>
          <a:avLst/>
          <a:gdLst>
            <a:gd name="T0" fmla="*/ 2147483647 w 226"/>
            <a:gd name="T1" fmla="*/ 0 h 93"/>
            <a:gd name="T2" fmla="*/ 2147483647 w 226"/>
            <a:gd name="T3" fmla="*/ 2147483647 h 93"/>
            <a:gd name="T4" fmla="*/ 2147483647 w 226"/>
            <a:gd name="T5" fmla="*/ 2147483647 h 93"/>
            <a:gd name="T6" fmla="*/ 0 w 226"/>
            <a:gd name="T7" fmla="*/ 2147483647 h 93"/>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26" h="93">
              <a:moveTo>
                <a:pt x="226" y="0"/>
              </a:moveTo>
              <a:lnTo>
                <a:pt x="226" y="80"/>
              </a:lnTo>
              <a:lnTo>
                <a:pt x="226" y="93"/>
              </a:lnTo>
              <a:lnTo>
                <a:pt x="0" y="93"/>
              </a:lnTo>
            </a:path>
          </a:pathLst>
        </a:custGeom>
        <a:noFill/>
        <a:ln w="38100" cap="flat" cmpd="sng">
          <a:solidFill>
            <a:srgbClr val="FF0000"/>
          </a:solidFill>
          <a:prstDash val="solid"/>
          <a:round/>
          <a:headEnd type="none" w="med" len="med"/>
          <a:tailEnd type="triangle" w="med" len="lg"/>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45722</xdr:colOff>
      <xdr:row>45</xdr:row>
      <xdr:rowOff>209549</xdr:rowOff>
    </xdr:from>
    <xdr:to>
      <xdr:col>25</xdr:col>
      <xdr:colOff>261722</xdr:colOff>
      <xdr:row>52</xdr:row>
      <xdr:rowOff>2699</xdr:rowOff>
    </xdr:to>
    <xdr:sp macro="" textlink="">
      <xdr:nvSpPr>
        <xdr:cNvPr id="8" name="左中かっこ 7">
          <a:extLst>
            <a:ext uri="{FF2B5EF4-FFF2-40B4-BE49-F238E27FC236}">
              <a16:creationId xmlns:a16="http://schemas.microsoft.com/office/drawing/2014/main" id="{00000000-0008-0000-0100-000008000000}"/>
            </a:ext>
          </a:extLst>
        </xdr:cNvPr>
        <xdr:cNvSpPr/>
      </xdr:nvSpPr>
      <xdr:spPr bwMode="auto">
        <a:xfrm flipH="1">
          <a:off x="16641447" y="10715624"/>
          <a:ext cx="209650" cy="1460025"/>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455083</xdr:colOff>
      <xdr:row>29</xdr:row>
      <xdr:rowOff>7499</xdr:rowOff>
    </xdr:from>
    <xdr:to>
      <xdr:col>15</xdr:col>
      <xdr:colOff>714375</xdr:colOff>
      <xdr:row>40</xdr:row>
      <xdr:rowOff>200024</xdr:rowOff>
    </xdr:to>
    <xdr:sp macro="" textlink="">
      <xdr:nvSpPr>
        <xdr:cNvPr id="9" name="左中かっこ 8">
          <a:extLst>
            <a:ext uri="{FF2B5EF4-FFF2-40B4-BE49-F238E27FC236}">
              <a16:creationId xmlns:a16="http://schemas.microsoft.com/office/drawing/2014/main" id="{00000000-0008-0000-0100-000009000000}"/>
            </a:ext>
          </a:extLst>
        </xdr:cNvPr>
        <xdr:cNvSpPr/>
      </xdr:nvSpPr>
      <xdr:spPr bwMode="auto">
        <a:xfrm>
          <a:off x="9380008" y="6763899"/>
          <a:ext cx="256117" cy="2754750"/>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455083</xdr:colOff>
      <xdr:row>41</xdr:row>
      <xdr:rowOff>43500</xdr:rowOff>
    </xdr:from>
    <xdr:to>
      <xdr:col>15</xdr:col>
      <xdr:colOff>691302</xdr:colOff>
      <xdr:row>51</xdr:row>
      <xdr:rowOff>0</xdr:rowOff>
    </xdr:to>
    <xdr:sp macro="" textlink="">
      <xdr:nvSpPr>
        <xdr:cNvPr id="10" name="左中かっこ 9">
          <a:extLst>
            <a:ext uri="{FF2B5EF4-FFF2-40B4-BE49-F238E27FC236}">
              <a16:creationId xmlns:a16="http://schemas.microsoft.com/office/drawing/2014/main" id="{00000000-0008-0000-0100-00000A000000}"/>
            </a:ext>
          </a:extLst>
        </xdr:cNvPr>
        <xdr:cNvSpPr/>
      </xdr:nvSpPr>
      <xdr:spPr bwMode="auto">
        <a:xfrm>
          <a:off x="9380008" y="9600250"/>
          <a:ext cx="239394" cy="2334575"/>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15</xdr:col>
      <xdr:colOff>55494</xdr:colOff>
      <xdr:row>29</xdr:row>
      <xdr:rowOff>40576</xdr:rowOff>
    </xdr:from>
    <xdr:ext cx="385555" cy="273600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8980419" y="6793801"/>
          <a:ext cx="385555" cy="273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spAutoFit/>
        </a:bodyPr>
        <a:lstStyle/>
        <a:p>
          <a:r>
            <a:rPr kumimoji="1" lang="ja-JP" altLang="en-US" sz="1100"/>
            <a:t>補助対象受入費</a:t>
          </a:r>
        </a:p>
      </xdr:txBody>
    </xdr:sp>
    <xdr:clientData/>
  </xdr:oneCellAnchor>
  <xdr:oneCellAnchor>
    <xdr:from>
      <xdr:col>25</xdr:col>
      <xdr:colOff>244185</xdr:colOff>
      <xdr:row>50</xdr:row>
      <xdr:rowOff>190501</xdr:rowOff>
    </xdr:from>
    <xdr:ext cx="386849" cy="275717"/>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6833560" y="11887201"/>
          <a:ext cx="38684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b="1">
              <a:latin typeface="+mj-ea"/>
              <a:ea typeface="+mj-ea"/>
            </a:rPr>
            <a:t>(B)</a:t>
          </a:r>
        </a:p>
      </xdr:txBody>
    </xdr:sp>
    <xdr:clientData/>
  </xdr:oneCellAnchor>
  <xdr:twoCellAnchor editAs="absolute">
    <xdr:from>
      <xdr:col>25</xdr:col>
      <xdr:colOff>238668</xdr:colOff>
      <xdr:row>45</xdr:row>
      <xdr:rowOff>202671</xdr:rowOff>
    </xdr:from>
    <xdr:to>
      <xdr:col>25</xdr:col>
      <xdr:colOff>617873</xdr:colOff>
      <xdr:row>49</xdr:row>
      <xdr:rowOff>177866</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6828043" y="10705571"/>
          <a:ext cx="385555" cy="934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rtlCol="0" anchor="ctr" anchorCtr="1">
          <a:spAutoFit/>
        </a:bodyPr>
        <a:lstStyle/>
        <a:p>
          <a:r>
            <a:rPr kumimoji="1" lang="ja-JP" altLang="en-US" sz="1100" b="1"/>
            <a:t>企業負担金</a:t>
          </a:r>
        </a:p>
      </xdr:txBody>
    </xdr:sp>
    <xdr:clientData/>
  </xdr:twoCellAnchor>
  <xdr:twoCellAnchor editAs="oneCell">
    <xdr:from>
      <xdr:col>15</xdr:col>
      <xdr:colOff>55493</xdr:colOff>
      <xdr:row>41</xdr:row>
      <xdr:rowOff>82811</xdr:rowOff>
    </xdr:from>
    <xdr:to>
      <xdr:col>15</xdr:col>
      <xdr:colOff>484118</xdr:colOff>
      <xdr:row>51</xdr:row>
      <xdr:rowOff>9525</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8980418" y="9639561"/>
          <a:ext cx="428625" cy="2304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lstStyle/>
        <a:p>
          <a:r>
            <a:rPr kumimoji="1" lang="ja-JP" altLang="en-US" sz="1100"/>
            <a:t>補助対象研修費・附帯費</a:t>
          </a:r>
        </a:p>
      </xdr:txBody>
    </xdr:sp>
    <xdr:clientData/>
  </xdr:twoCellAnchor>
  <xdr:twoCellAnchor>
    <xdr:from>
      <xdr:col>17</xdr:col>
      <xdr:colOff>0</xdr:colOff>
      <xdr:row>41</xdr:row>
      <xdr:rowOff>0</xdr:rowOff>
    </xdr:from>
    <xdr:to>
      <xdr:col>18</xdr:col>
      <xdr:colOff>0</xdr:colOff>
      <xdr:row>41</xdr:row>
      <xdr:rowOff>0</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bwMode="auto">
        <a:xfrm>
          <a:off x="10734675" y="9553575"/>
          <a:ext cx="333375"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31750</xdr:colOff>
      <xdr:row>29</xdr:row>
      <xdr:rowOff>0</xdr:rowOff>
    </xdr:from>
    <xdr:to>
      <xdr:col>18</xdr:col>
      <xdr:colOff>31750</xdr:colOff>
      <xdr:row>29</xdr:row>
      <xdr:rowOff>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bwMode="auto">
        <a:xfrm>
          <a:off x="10763250" y="6753225"/>
          <a:ext cx="333375"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10583</xdr:colOff>
      <xdr:row>32</xdr:row>
      <xdr:rowOff>227541</xdr:rowOff>
    </xdr:from>
    <xdr:to>
      <xdr:col>24</xdr:col>
      <xdr:colOff>0</xdr:colOff>
      <xdr:row>32</xdr:row>
      <xdr:rowOff>227541</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bwMode="auto">
        <a:xfrm>
          <a:off x="13094758" y="7695141"/>
          <a:ext cx="2430992"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20</xdr:col>
      <xdr:colOff>154782</xdr:colOff>
      <xdr:row>27</xdr:row>
      <xdr:rowOff>214312</xdr:rowOff>
    </xdr:from>
    <xdr:ext cx="386851" cy="275717"/>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12356307" y="6494462"/>
          <a:ext cx="3868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b="1">
              <a:solidFill>
                <a:srgbClr val="0000FF"/>
              </a:solidFill>
              <a:latin typeface="+mj-ea"/>
              <a:ea typeface="+mj-ea"/>
            </a:rPr>
            <a:t>①</a:t>
          </a:r>
          <a:endParaRPr kumimoji="1" lang="en-US" altLang="ja-JP" sz="1100" b="1">
            <a:solidFill>
              <a:srgbClr val="0000FF"/>
            </a:solidFill>
            <a:latin typeface="+mj-ea"/>
            <a:ea typeface="+mj-ea"/>
          </a:endParaRPr>
        </a:p>
      </xdr:txBody>
    </xdr:sp>
    <xdr:clientData/>
  </xdr:oneCellAnchor>
  <xdr:oneCellAnchor>
    <xdr:from>
      <xdr:col>20</xdr:col>
      <xdr:colOff>916781</xdr:colOff>
      <xdr:row>31</xdr:row>
      <xdr:rowOff>200533</xdr:rowOff>
    </xdr:from>
    <xdr:ext cx="386851" cy="275717"/>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3089731" y="7426833"/>
          <a:ext cx="3868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b="1">
              <a:solidFill>
                <a:srgbClr val="0000FF"/>
              </a:solidFill>
              <a:latin typeface="+mj-ea"/>
              <a:ea typeface="+mj-ea"/>
            </a:rPr>
            <a:t>③</a:t>
          </a:r>
          <a:endParaRPr kumimoji="1" lang="en-US" altLang="ja-JP" sz="1100" b="1">
            <a:solidFill>
              <a:srgbClr val="0000FF"/>
            </a:solidFill>
            <a:latin typeface="+mj-ea"/>
            <a:ea typeface="+mj-ea"/>
          </a:endParaRPr>
        </a:p>
      </xdr:txBody>
    </xdr:sp>
    <xdr:clientData/>
  </xdr:oneCellAnchor>
  <xdr:oneCellAnchor>
    <xdr:from>
      <xdr:col>24</xdr:col>
      <xdr:colOff>851400</xdr:colOff>
      <xdr:row>44</xdr:row>
      <xdr:rowOff>190503</xdr:rowOff>
    </xdr:from>
    <xdr:ext cx="386851" cy="2757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6373975" y="10458453"/>
          <a:ext cx="3868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b="1">
              <a:solidFill>
                <a:srgbClr val="0000FF"/>
              </a:solidFill>
              <a:latin typeface="+mj-ea"/>
              <a:ea typeface="+mj-ea"/>
            </a:rPr>
            <a:t>②</a:t>
          </a:r>
          <a:endParaRPr kumimoji="1" lang="en-US" altLang="ja-JP" sz="1100" b="1">
            <a:solidFill>
              <a:srgbClr val="0000FF"/>
            </a:solidFill>
            <a:latin typeface="+mj-ea"/>
            <a:ea typeface="+mj-ea"/>
          </a:endParaRPr>
        </a:p>
      </xdr:txBody>
    </xdr:sp>
    <xdr:clientData/>
  </xdr:oneCellAnchor>
  <xdr:twoCellAnchor>
    <xdr:from>
      <xdr:col>21</xdr:col>
      <xdr:colOff>0</xdr:colOff>
      <xdr:row>40</xdr:row>
      <xdr:rowOff>227541</xdr:rowOff>
    </xdr:from>
    <xdr:to>
      <xdr:col>23</xdr:col>
      <xdr:colOff>799042</xdr:colOff>
      <xdr:row>40</xdr:row>
      <xdr:rowOff>227541</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bwMode="auto">
        <a:xfrm>
          <a:off x="13087350" y="9542991"/>
          <a:ext cx="2437342" cy="0"/>
        </a:xfrm>
        <a:prstGeom prst="line">
          <a:avLst/>
        </a:prstGeom>
        <a:solidFill>
          <a:srgbClr xmlns:mc="http://schemas.openxmlformats.org/markup-compatibility/2006" xmlns:a14="http://schemas.microsoft.com/office/drawing/2010/main" val="FFFFFF" mc:Ignorable="a14" a14:legacySpreadsheetColorIndex="65"/>
        </a:solidFill>
        <a:ln w="25400" cap="flat" cmpd="sng" algn="ctr">
          <a:solidFill>
            <a:schemeClr val="bg1">
              <a:lumMod val="50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47623</xdr:colOff>
      <xdr:row>1</xdr:row>
      <xdr:rowOff>226219</xdr:rowOff>
    </xdr:from>
    <xdr:to>
      <xdr:col>20</xdr:col>
      <xdr:colOff>142875</xdr:colOff>
      <xdr:row>3</xdr:row>
      <xdr:rowOff>235744</xdr:rowOff>
    </xdr:to>
    <xdr:sp macro="" textlink="">
      <xdr:nvSpPr>
        <xdr:cNvPr id="10" name="Text Box 222">
          <a:extLst>
            <a:ext uri="{FF2B5EF4-FFF2-40B4-BE49-F238E27FC236}">
              <a16:creationId xmlns:a16="http://schemas.microsoft.com/office/drawing/2014/main" id="{00000000-0008-0000-0200-00000A000000}"/>
            </a:ext>
          </a:extLst>
        </xdr:cNvPr>
        <xdr:cNvSpPr txBox="1">
          <a:spLocks noChangeArrowheads="1"/>
        </xdr:cNvSpPr>
      </xdr:nvSpPr>
      <xdr:spPr bwMode="auto">
        <a:xfrm>
          <a:off x="7215186" y="488157"/>
          <a:ext cx="5560220" cy="533400"/>
        </a:xfrm>
        <a:prstGeom prst="rect">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　　第一四半期に精算に関わる支払がある場合は、国庫補助金が入金されてからとなるため、</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en-US" altLang="ja-JP" sz="10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支払時期が第二四半期（</a:t>
          </a:r>
          <a:r>
            <a:rPr lang="en-US" altLang="ja-JP" sz="1000" b="0" i="0" u="none" strike="noStrike" baseline="0">
              <a:solidFill>
                <a:srgbClr val="000000"/>
              </a:solidFill>
              <a:latin typeface="ＭＳ Ｐゴシック"/>
              <a:ea typeface="ＭＳ Ｐゴシック"/>
            </a:rPr>
            <a:t>7</a:t>
          </a:r>
          <a:r>
            <a:rPr lang="ja-JP" altLang="en-US" sz="1000" b="0" i="0" u="none" strike="noStrike" baseline="0">
              <a:solidFill>
                <a:srgbClr val="000000"/>
              </a:solidFill>
              <a:latin typeface="ＭＳ Ｐゴシック"/>
              <a:ea typeface="ＭＳ Ｐゴシック"/>
            </a:rPr>
            <a:t>月以降）になることがあります。</a:t>
          </a:r>
        </a:p>
      </xdr:txBody>
    </xdr:sp>
    <xdr:clientData/>
  </xdr:twoCellAnchor>
  <xdr:twoCellAnchor>
    <xdr:from>
      <xdr:col>4</xdr:col>
      <xdr:colOff>304810</xdr:colOff>
      <xdr:row>2</xdr:row>
      <xdr:rowOff>19050</xdr:rowOff>
    </xdr:from>
    <xdr:to>
      <xdr:col>10</xdr:col>
      <xdr:colOff>523898</xdr:colOff>
      <xdr:row>3</xdr:row>
      <xdr:rowOff>152400</xdr:rowOff>
    </xdr:to>
    <xdr:grpSp>
      <xdr:nvGrpSpPr>
        <xdr:cNvPr id="11" name="Group 289">
          <a:extLst>
            <a:ext uri="{FF2B5EF4-FFF2-40B4-BE49-F238E27FC236}">
              <a16:creationId xmlns:a16="http://schemas.microsoft.com/office/drawing/2014/main" id="{00000000-0008-0000-0200-00000B000000}"/>
            </a:ext>
          </a:extLst>
        </xdr:cNvPr>
        <xdr:cNvGrpSpPr>
          <a:grpSpLocks/>
        </xdr:cNvGrpSpPr>
      </xdr:nvGrpSpPr>
      <xdr:grpSpPr bwMode="auto">
        <a:xfrm>
          <a:off x="2492839" y="563336"/>
          <a:ext cx="3898459" cy="405493"/>
          <a:chOff x="311" y="40"/>
          <a:chExt cx="415" cy="32"/>
        </a:xfrm>
      </xdr:grpSpPr>
      <xdr:sp macro="" textlink="">
        <xdr:nvSpPr>
          <xdr:cNvPr id="12" name="Freeform 290">
            <a:extLst>
              <a:ext uri="{FF2B5EF4-FFF2-40B4-BE49-F238E27FC236}">
                <a16:creationId xmlns:a16="http://schemas.microsoft.com/office/drawing/2014/main" id="{00000000-0008-0000-0200-00000C000000}"/>
              </a:ext>
            </a:extLst>
          </xdr:cNvPr>
          <xdr:cNvSpPr>
            <a:spLocks/>
          </xdr:cNvSpPr>
        </xdr:nvSpPr>
        <xdr:spPr bwMode="auto">
          <a:xfrm>
            <a:off x="311" y="40"/>
            <a:ext cx="5" cy="32"/>
          </a:xfrm>
          <a:custGeom>
            <a:avLst/>
            <a:gdLst>
              <a:gd name="T0" fmla="*/ 3 w 10"/>
              <a:gd name="T1" fmla="*/ 0 h 80"/>
              <a:gd name="T2" fmla="*/ 0 w 10"/>
              <a:gd name="T3" fmla="*/ 0 h 80"/>
              <a:gd name="T4" fmla="*/ 0 w 10"/>
              <a:gd name="T5" fmla="*/ 13 h 80"/>
              <a:gd name="T6" fmla="*/ 3 w 10"/>
              <a:gd name="T7" fmla="*/ 13 h 8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0" h="80">
                <a:moveTo>
                  <a:pt x="9" y="0"/>
                </a:moveTo>
                <a:lnTo>
                  <a:pt x="0" y="0"/>
                </a:lnTo>
                <a:lnTo>
                  <a:pt x="0" y="80"/>
                </a:lnTo>
                <a:lnTo>
                  <a:pt x="10" y="8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3" name="Freeform 291">
            <a:extLst>
              <a:ext uri="{FF2B5EF4-FFF2-40B4-BE49-F238E27FC236}">
                <a16:creationId xmlns:a16="http://schemas.microsoft.com/office/drawing/2014/main" id="{00000000-0008-0000-0200-00000D000000}"/>
              </a:ext>
            </a:extLst>
          </xdr:cNvPr>
          <xdr:cNvSpPr>
            <a:spLocks/>
          </xdr:cNvSpPr>
        </xdr:nvSpPr>
        <xdr:spPr bwMode="auto">
          <a:xfrm flipH="1">
            <a:off x="721" y="40"/>
            <a:ext cx="5" cy="32"/>
          </a:xfrm>
          <a:custGeom>
            <a:avLst/>
            <a:gdLst>
              <a:gd name="T0" fmla="*/ 3 w 10"/>
              <a:gd name="T1" fmla="*/ 0 h 80"/>
              <a:gd name="T2" fmla="*/ 0 w 10"/>
              <a:gd name="T3" fmla="*/ 0 h 80"/>
              <a:gd name="T4" fmla="*/ 0 w 10"/>
              <a:gd name="T5" fmla="*/ 13 h 80"/>
              <a:gd name="T6" fmla="*/ 3 w 10"/>
              <a:gd name="T7" fmla="*/ 13 h 8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0" h="80">
                <a:moveTo>
                  <a:pt x="9" y="0"/>
                </a:moveTo>
                <a:lnTo>
                  <a:pt x="0" y="0"/>
                </a:lnTo>
                <a:lnTo>
                  <a:pt x="0" y="80"/>
                </a:lnTo>
                <a:lnTo>
                  <a:pt x="10" y="8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304800</xdr:colOff>
      <xdr:row>75</xdr:row>
      <xdr:rowOff>6351</xdr:rowOff>
    </xdr:from>
    <xdr:to>
      <xdr:col>17</xdr:col>
      <xdr:colOff>161924</xdr:colOff>
      <xdr:row>78</xdr:row>
      <xdr:rowOff>28575</xdr:rowOff>
    </xdr:to>
    <xdr:sp macro="" textlink="">
      <xdr:nvSpPr>
        <xdr:cNvPr id="2" name="吹き出し: 角を丸めた四角形 1">
          <a:extLst>
            <a:ext uri="{FF2B5EF4-FFF2-40B4-BE49-F238E27FC236}">
              <a16:creationId xmlns:a16="http://schemas.microsoft.com/office/drawing/2014/main" id="{00000000-0008-0000-0300-000002000000}"/>
            </a:ext>
          </a:extLst>
        </xdr:cNvPr>
        <xdr:cNvSpPr/>
      </xdr:nvSpPr>
      <xdr:spPr bwMode="auto">
        <a:xfrm>
          <a:off x="4076700" y="12150726"/>
          <a:ext cx="1428749" cy="507999"/>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en-US" altLang="ja-JP" sz="900"/>
            <a:t>AOTS</a:t>
          </a:r>
          <a:r>
            <a:rPr kumimoji="1" lang="ja-JP" altLang="en-US" sz="900"/>
            <a:t>立替えをしており、</a:t>
          </a:r>
          <a:r>
            <a:rPr kumimoji="1" lang="en-US" altLang="ja-JP" sz="900"/>
            <a:t>AOTS</a:t>
          </a:r>
          <a:r>
            <a:rPr kumimoji="1" lang="ja-JP" altLang="en-US" sz="900"/>
            <a:t>が補助金を受け取る部分</a:t>
          </a:r>
        </a:p>
      </xdr:txBody>
    </xdr:sp>
    <xdr:clientData/>
  </xdr:twoCellAnchor>
  <xdr:twoCellAnchor>
    <xdr:from>
      <xdr:col>1</xdr:col>
      <xdr:colOff>28575</xdr:colOff>
      <xdr:row>2</xdr:row>
      <xdr:rowOff>142875</xdr:rowOff>
    </xdr:from>
    <xdr:to>
      <xdr:col>10</xdr:col>
      <xdr:colOff>219075</xdr:colOff>
      <xdr:row>4</xdr:row>
      <xdr:rowOff>19050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371475" y="485775"/>
          <a:ext cx="3276600" cy="2190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１．補助対象経費</a:t>
          </a:r>
        </a:p>
      </xdr:txBody>
    </xdr:sp>
    <xdr:clientData/>
  </xdr:twoCellAnchor>
  <xdr:twoCellAnchor>
    <xdr:from>
      <xdr:col>12</xdr:col>
      <xdr:colOff>95250</xdr:colOff>
      <xdr:row>2</xdr:row>
      <xdr:rowOff>123825</xdr:rowOff>
    </xdr:from>
    <xdr:to>
      <xdr:col>17</xdr:col>
      <xdr:colOff>142875</xdr:colOff>
      <xdr:row>4</xdr:row>
      <xdr:rowOff>38100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4210050" y="466725"/>
          <a:ext cx="1762125" cy="2571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サンプル：補助率２／３</a:t>
          </a:r>
        </a:p>
      </xdr:txBody>
    </xdr:sp>
    <xdr:clientData/>
  </xdr:twoCellAnchor>
  <xdr:twoCellAnchor>
    <xdr:from>
      <xdr:col>15</xdr:col>
      <xdr:colOff>304800</xdr:colOff>
      <xdr:row>20</xdr:row>
      <xdr:rowOff>38100</xdr:rowOff>
    </xdr:from>
    <xdr:to>
      <xdr:col>16</xdr:col>
      <xdr:colOff>95250</xdr:colOff>
      <xdr:row>23</xdr:row>
      <xdr:rowOff>133350</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bwMode="auto">
        <a:xfrm flipV="1">
          <a:off x="5448300" y="3467100"/>
          <a:ext cx="133350" cy="60960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0</xdr:colOff>
      <xdr:row>22</xdr:row>
      <xdr:rowOff>57150</xdr:rowOff>
    </xdr:from>
    <xdr:to>
      <xdr:col>15</xdr:col>
      <xdr:colOff>304800</xdr:colOff>
      <xdr:row>23</xdr:row>
      <xdr:rowOff>152400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bwMode="auto">
        <a:xfrm flipH="1" flipV="1">
          <a:off x="4800600" y="3829050"/>
          <a:ext cx="647700" cy="26670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111312</xdr:colOff>
      <xdr:row>22</xdr:row>
      <xdr:rowOff>77321</xdr:rowOff>
    </xdr:from>
    <xdr:to>
      <xdr:col>5</xdr:col>
      <xdr:colOff>85912</xdr:colOff>
      <xdr:row>24</xdr:row>
      <xdr:rowOff>16996</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bwMode="auto">
        <a:xfrm>
          <a:off x="1368612" y="3639671"/>
          <a:ext cx="288925" cy="26352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１</a:t>
          </a:r>
        </a:p>
      </xdr:txBody>
    </xdr:sp>
    <xdr:clientData/>
  </xdr:twoCellAnchor>
  <xdr:twoCellAnchor>
    <xdr:from>
      <xdr:col>0</xdr:col>
      <xdr:colOff>19049</xdr:colOff>
      <xdr:row>0</xdr:row>
      <xdr:rowOff>76200</xdr:rowOff>
    </xdr:from>
    <xdr:to>
      <xdr:col>17</xdr:col>
      <xdr:colOff>314324</xdr:colOff>
      <xdr:row>1</xdr:row>
      <xdr:rowOff>123825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bwMode="auto">
        <a:xfrm>
          <a:off x="19049" y="76200"/>
          <a:ext cx="6124575" cy="219075"/>
        </a:xfrm>
        <a:prstGeom prst="rect">
          <a:avLst/>
        </a:prstGeom>
        <a:solidFill>
          <a:schemeClr val="accent6">
            <a:lumMod val="40000"/>
            <a:lumOff val="6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t>試算表の説明の流れ</a:t>
          </a:r>
        </a:p>
      </xdr:txBody>
    </xdr:sp>
    <xdr:clientData/>
  </xdr:twoCellAnchor>
  <xdr:twoCellAnchor>
    <xdr:from>
      <xdr:col>0</xdr:col>
      <xdr:colOff>142875</xdr:colOff>
      <xdr:row>19</xdr:row>
      <xdr:rowOff>123825</xdr:rowOff>
    </xdr:from>
    <xdr:to>
      <xdr:col>1</xdr:col>
      <xdr:colOff>247650</xdr:colOff>
      <xdr:row>35</xdr:row>
      <xdr:rowOff>95250</xdr:rowOff>
    </xdr:to>
    <xdr:sp macro="" textlink="">
      <xdr:nvSpPr>
        <xdr:cNvPr id="11" name="矢印: 下 10">
          <a:extLst>
            <a:ext uri="{FF2B5EF4-FFF2-40B4-BE49-F238E27FC236}">
              <a16:creationId xmlns:a16="http://schemas.microsoft.com/office/drawing/2014/main" id="{00000000-0008-0000-0300-00000B000000}"/>
            </a:ext>
          </a:extLst>
        </xdr:cNvPr>
        <xdr:cNvSpPr/>
      </xdr:nvSpPr>
      <xdr:spPr bwMode="auto">
        <a:xfrm>
          <a:off x="142875" y="3381375"/>
          <a:ext cx="447675" cy="2714625"/>
        </a:xfrm>
        <a:prstGeom prst="down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101600</xdr:colOff>
      <xdr:row>28</xdr:row>
      <xdr:rowOff>139700</xdr:rowOff>
    </xdr:from>
    <xdr:to>
      <xdr:col>2</xdr:col>
      <xdr:colOff>85725</xdr:colOff>
      <xdr:row>31</xdr:row>
      <xdr:rowOff>142875</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bwMode="auto">
        <a:xfrm>
          <a:off x="101600" y="4673600"/>
          <a:ext cx="612775" cy="4889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t>立替者別</a:t>
          </a:r>
        </a:p>
      </xdr:txBody>
    </xdr:sp>
    <xdr:clientData/>
  </xdr:twoCellAnchor>
  <xdr:twoCellAnchor editAs="oneCell">
    <xdr:from>
      <xdr:col>0</xdr:col>
      <xdr:colOff>57149</xdr:colOff>
      <xdr:row>38</xdr:row>
      <xdr:rowOff>28575</xdr:rowOff>
    </xdr:from>
    <xdr:to>
      <xdr:col>12</xdr:col>
      <xdr:colOff>26747</xdr:colOff>
      <xdr:row>46</xdr:row>
      <xdr:rowOff>38100</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90"/>
        <a:stretch/>
      </xdr:blipFill>
      <xdr:spPr bwMode="auto">
        <a:xfrm>
          <a:off x="57149" y="6543675"/>
          <a:ext cx="4087573"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57151</xdr:colOff>
      <xdr:row>38</xdr:row>
      <xdr:rowOff>38100</xdr:rowOff>
    </xdr:from>
    <xdr:to>
      <xdr:col>17</xdr:col>
      <xdr:colOff>63500</xdr:colOff>
      <xdr:row>46</xdr:row>
      <xdr:rowOff>67024</xdr:rowOff>
    </xdr:to>
    <xdr:pic>
      <xdr:nvPicPr>
        <xdr:cNvPr id="14" name="図 13">
          <a:extLst>
            <a:ext uri="{FF2B5EF4-FFF2-40B4-BE49-F238E27FC236}">
              <a16:creationId xmlns:a16="http://schemas.microsoft.com/office/drawing/2014/main" id="{00000000-0008-0000-0300-00000E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4141"/>
        <a:stretch/>
      </xdr:blipFill>
      <xdr:spPr bwMode="auto">
        <a:xfrm>
          <a:off x="4171951" y="6553200"/>
          <a:ext cx="1724024" cy="1403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66675</xdr:colOff>
      <xdr:row>47</xdr:row>
      <xdr:rowOff>38100</xdr:rowOff>
    </xdr:from>
    <xdr:to>
      <xdr:col>1</xdr:col>
      <xdr:colOff>38100</xdr:colOff>
      <xdr:row>48</xdr:row>
      <xdr:rowOff>142875</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66675" y="7648575"/>
          <a:ext cx="285750" cy="266700"/>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２</a:t>
          </a:r>
        </a:p>
      </xdr:txBody>
    </xdr:sp>
    <xdr:clientData/>
  </xdr:twoCellAnchor>
  <xdr:twoCellAnchor>
    <xdr:from>
      <xdr:col>0</xdr:col>
      <xdr:colOff>200025</xdr:colOff>
      <xdr:row>36</xdr:row>
      <xdr:rowOff>57151</xdr:rowOff>
    </xdr:from>
    <xdr:to>
      <xdr:col>3</xdr:col>
      <xdr:colOff>257175</xdr:colOff>
      <xdr:row>37</xdr:row>
      <xdr:rowOff>133351</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200025" y="6229351"/>
          <a:ext cx="1085850" cy="247650"/>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00"/>
            <a:t>AOTS</a:t>
          </a:r>
          <a:r>
            <a:rPr kumimoji="1" lang="ja-JP" altLang="en-US" sz="1000"/>
            <a:t>の立替</a:t>
          </a:r>
        </a:p>
      </xdr:txBody>
    </xdr:sp>
    <xdr:clientData/>
  </xdr:twoCellAnchor>
  <xdr:twoCellAnchor>
    <xdr:from>
      <xdr:col>12</xdr:col>
      <xdr:colOff>47625</xdr:colOff>
      <xdr:row>36</xdr:row>
      <xdr:rowOff>76200</xdr:rowOff>
    </xdr:from>
    <xdr:to>
      <xdr:col>15</xdr:col>
      <xdr:colOff>104775</xdr:colOff>
      <xdr:row>37</xdr:row>
      <xdr:rowOff>152400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bwMode="auto">
        <a:xfrm>
          <a:off x="4162425" y="6248400"/>
          <a:ext cx="1085850" cy="247650"/>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a:t>企業の立替</a:t>
          </a:r>
        </a:p>
      </xdr:txBody>
    </xdr:sp>
    <xdr:clientData/>
  </xdr:twoCellAnchor>
  <xdr:twoCellAnchor>
    <xdr:from>
      <xdr:col>1</xdr:col>
      <xdr:colOff>58084</xdr:colOff>
      <xdr:row>56</xdr:row>
      <xdr:rowOff>122705</xdr:rowOff>
    </xdr:from>
    <xdr:to>
      <xdr:col>16</xdr:col>
      <xdr:colOff>102534</xdr:colOff>
      <xdr:row>58</xdr:row>
      <xdr:rowOff>78254</xdr:rowOff>
    </xdr:to>
    <xdr:sp macro="" textlink="">
      <xdr:nvSpPr>
        <xdr:cNvPr id="19" name="吹き出し: 角を丸めた四角形 18">
          <a:extLst>
            <a:ext uri="{FF2B5EF4-FFF2-40B4-BE49-F238E27FC236}">
              <a16:creationId xmlns:a16="http://schemas.microsoft.com/office/drawing/2014/main" id="{00000000-0008-0000-0300-000013000000}"/>
            </a:ext>
          </a:extLst>
        </xdr:cNvPr>
        <xdr:cNvSpPr/>
      </xdr:nvSpPr>
      <xdr:spPr bwMode="auto">
        <a:xfrm>
          <a:off x="372409" y="9190505"/>
          <a:ext cx="4759325" cy="279399"/>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t>以上が受入費についてです。</a:t>
          </a:r>
        </a:p>
      </xdr:txBody>
    </xdr:sp>
    <xdr:clientData/>
  </xdr:twoCellAnchor>
  <xdr:twoCellAnchor>
    <xdr:from>
      <xdr:col>0</xdr:col>
      <xdr:colOff>34925</xdr:colOff>
      <xdr:row>59</xdr:row>
      <xdr:rowOff>111125</xdr:rowOff>
    </xdr:from>
    <xdr:to>
      <xdr:col>1</xdr:col>
      <xdr:colOff>9525</xdr:colOff>
      <xdr:row>61</xdr:row>
      <xdr:rowOff>47625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bwMode="auto">
        <a:xfrm>
          <a:off x="34925" y="9664700"/>
          <a:ext cx="288925" cy="260350"/>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３</a:t>
          </a:r>
        </a:p>
      </xdr:txBody>
    </xdr:sp>
    <xdr:clientData/>
  </xdr:twoCellAnchor>
  <xdr:twoCellAnchor editAs="oneCell">
    <xdr:from>
      <xdr:col>1</xdr:col>
      <xdr:colOff>323850</xdr:colOff>
      <xdr:row>64</xdr:row>
      <xdr:rowOff>123825</xdr:rowOff>
    </xdr:from>
    <xdr:to>
      <xdr:col>15</xdr:col>
      <xdr:colOff>177800</xdr:colOff>
      <xdr:row>70</xdr:row>
      <xdr:rowOff>145583</xdr:rowOff>
    </xdr:to>
    <xdr:pic>
      <xdr:nvPicPr>
        <xdr:cNvPr id="22" name="図 21">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11096625"/>
          <a:ext cx="4657725" cy="1053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72</xdr:row>
      <xdr:rowOff>9525</xdr:rowOff>
    </xdr:from>
    <xdr:to>
      <xdr:col>1</xdr:col>
      <xdr:colOff>25400</xdr:colOff>
      <xdr:row>73</xdr:row>
      <xdr:rowOff>149225</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bwMode="auto">
        <a:xfrm>
          <a:off x="57150" y="11668125"/>
          <a:ext cx="282575" cy="30162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４</a:t>
          </a:r>
        </a:p>
      </xdr:txBody>
    </xdr:sp>
    <xdr:clientData/>
  </xdr:twoCellAnchor>
  <xdr:twoCellAnchor editAs="oneCell">
    <xdr:from>
      <xdr:col>0</xdr:col>
      <xdr:colOff>66675</xdr:colOff>
      <xdr:row>75</xdr:row>
      <xdr:rowOff>9525</xdr:rowOff>
    </xdr:from>
    <xdr:to>
      <xdr:col>15</xdr:col>
      <xdr:colOff>7567</xdr:colOff>
      <xdr:row>94</xdr:row>
      <xdr:rowOff>76200</xdr:rowOff>
    </xdr:to>
    <xdr:pic>
      <xdr:nvPicPr>
        <xdr:cNvPr id="25" name="図 24">
          <a:extLst>
            <a:ext uri="{FF2B5EF4-FFF2-40B4-BE49-F238E27FC236}">
              <a16:creationId xmlns:a16="http://schemas.microsoft.com/office/drawing/2014/main" id="{00000000-0008-0000-0300-00001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724" r="6438"/>
        <a:stretch/>
      </xdr:blipFill>
      <xdr:spPr bwMode="auto">
        <a:xfrm>
          <a:off x="66675" y="12868275"/>
          <a:ext cx="5081217" cy="332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85725</xdr:colOff>
      <xdr:row>76</xdr:row>
      <xdr:rowOff>38100</xdr:rowOff>
    </xdr:from>
    <xdr:to>
      <xdr:col>12</xdr:col>
      <xdr:colOff>285750</xdr:colOff>
      <xdr:row>77</xdr:row>
      <xdr:rowOff>19050</xdr:rowOff>
    </xdr:to>
    <xdr:cxnSp macro="">
      <xdr:nvCxnSpPr>
        <xdr:cNvPr id="27" name="直線矢印コネクタ 26">
          <a:extLst>
            <a:ext uri="{FF2B5EF4-FFF2-40B4-BE49-F238E27FC236}">
              <a16:creationId xmlns:a16="http://schemas.microsoft.com/office/drawing/2014/main" id="{00000000-0008-0000-0300-00001B000000}"/>
            </a:ext>
          </a:extLst>
        </xdr:cNvPr>
        <xdr:cNvCxnSpPr/>
      </xdr:nvCxnSpPr>
      <xdr:spPr bwMode="auto">
        <a:xfrm flipH="1">
          <a:off x="3514725" y="13068300"/>
          <a:ext cx="885825" cy="15240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19050</xdr:colOff>
      <xdr:row>80</xdr:row>
      <xdr:rowOff>142876</xdr:rowOff>
    </xdr:from>
    <xdr:to>
      <xdr:col>16</xdr:col>
      <xdr:colOff>228599</xdr:colOff>
      <xdr:row>84</xdr:row>
      <xdr:rowOff>0</xdr:rowOff>
    </xdr:to>
    <xdr:sp macro="" textlink="">
      <xdr:nvSpPr>
        <xdr:cNvPr id="28" name="吹き出し: 角を丸めた四角形 27">
          <a:extLst>
            <a:ext uri="{FF2B5EF4-FFF2-40B4-BE49-F238E27FC236}">
              <a16:creationId xmlns:a16="http://schemas.microsoft.com/office/drawing/2014/main" id="{00000000-0008-0000-0300-00001C000000}"/>
            </a:ext>
          </a:extLst>
        </xdr:cNvPr>
        <xdr:cNvSpPr/>
      </xdr:nvSpPr>
      <xdr:spPr bwMode="auto">
        <a:xfrm>
          <a:off x="4133850" y="13858876"/>
          <a:ext cx="1581149" cy="542924"/>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en-US" altLang="ja-JP" sz="900"/>
            <a:t>AOTS</a:t>
          </a:r>
          <a:r>
            <a:rPr kumimoji="1" lang="ja-JP" altLang="en-US" sz="900"/>
            <a:t>立替額のうち、</a:t>
          </a:r>
          <a:endParaRPr kumimoji="1" lang="en-US" altLang="ja-JP" sz="900"/>
        </a:p>
        <a:p>
          <a:pPr algn="l"/>
          <a:r>
            <a:rPr kumimoji="1" lang="ja-JP" altLang="en-US" sz="900"/>
            <a:t>補助金以外の部分＝企業負担の部分</a:t>
          </a:r>
        </a:p>
      </xdr:txBody>
    </xdr:sp>
    <xdr:clientData/>
  </xdr:twoCellAnchor>
  <xdr:twoCellAnchor>
    <xdr:from>
      <xdr:col>9</xdr:col>
      <xdr:colOff>295275</xdr:colOff>
      <xdr:row>79</xdr:row>
      <xdr:rowOff>161925</xdr:rowOff>
    </xdr:from>
    <xdr:to>
      <xdr:col>11</xdr:col>
      <xdr:colOff>333375</xdr:colOff>
      <xdr:row>81</xdr:row>
      <xdr:rowOff>161925</xdr:rowOff>
    </xdr:to>
    <xdr:cxnSp macro="">
      <xdr:nvCxnSpPr>
        <xdr:cNvPr id="29" name="直線矢印コネクタ 28">
          <a:extLst>
            <a:ext uri="{FF2B5EF4-FFF2-40B4-BE49-F238E27FC236}">
              <a16:creationId xmlns:a16="http://schemas.microsoft.com/office/drawing/2014/main" id="{00000000-0008-0000-0300-00001D000000}"/>
            </a:ext>
          </a:extLst>
        </xdr:cNvPr>
        <xdr:cNvCxnSpPr/>
      </xdr:nvCxnSpPr>
      <xdr:spPr bwMode="auto">
        <a:xfrm flipH="1" flipV="1">
          <a:off x="3381375" y="13706475"/>
          <a:ext cx="723900" cy="34290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314325</xdr:colOff>
      <xdr:row>84</xdr:row>
      <xdr:rowOff>85725</xdr:rowOff>
    </xdr:from>
    <xdr:to>
      <xdr:col>16</xdr:col>
      <xdr:colOff>180974</xdr:colOff>
      <xdr:row>86</xdr:row>
      <xdr:rowOff>133350</xdr:rowOff>
    </xdr:to>
    <xdr:sp macro="" textlink="">
      <xdr:nvSpPr>
        <xdr:cNvPr id="30" name="吹き出し: 角を丸めた四角形 29">
          <a:extLst>
            <a:ext uri="{FF2B5EF4-FFF2-40B4-BE49-F238E27FC236}">
              <a16:creationId xmlns:a16="http://schemas.microsoft.com/office/drawing/2014/main" id="{00000000-0008-0000-0300-00001E000000}"/>
            </a:ext>
          </a:extLst>
        </xdr:cNvPr>
        <xdr:cNvSpPr/>
      </xdr:nvSpPr>
      <xdr:spPr bwMode="auto">
        <a:xfrm>
          <a:off x="4086225" y="14487525"/>
          <a:ext cx="1581149" cy="39052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企業が立替えをしており、企業が補助金を受け取る部分</a:t>
          </a:r>
        </a:p>
      </xdr:txBody>
    </xdr:sp>
    <xdr:clientData/>
  </xdr:twoCellAnchor>
  <xdr:twoCellAnchor>
    <xdr:from>
      <xdr:col>9</xdr:col>
      <xdr:colOff>323850</xdr:colOff>
      <xdr:row>84</xdr:row>
      <xdr:rowOff>114300</xdr:rowOff>
    </xdr:from>
    <xdr:to>
      <xdr:col>11</xdr:col>
      <xdr:colOff>228600</xdr:colOff>
      <xdr:row>84</xdr:row>
      <xdr:rowOff>161925</xdr:rowOff>
    </xdr:to>
    <xdr:cxnSp macro="">
      <xdr:nvCxnSpPr>
        <xdr:cNvPr id="31" name="直線矢印コネクタ 30">
          <a:extLst>
            <a:ext uri="{FF2B5EF4-FFF2-40B4-BE49-F238E27FC236}">
              <a16:creationId xmlns:a16="http://schemas.microsoft.com/office/drawing/2014/main" id="{00000000-0008-0000-0300-00001F000000}"/>
            </a:ext>
          </a:extLst>
        </xdr:cNvPr>
        <xdr:cNvCxnSpPr/>
      </xdr:nvCxnSpPr>
      <xdr:spPr bwMode="auto">
        <a:xfrm flipH="1" flipV="1">
          <a:off x="3409950" y="14516100"/>
          <a:ext cx="590550" cy="47625"/>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66676</xdr:colOff>
      <xdr:row>87</xdr:row>
      <xdr:rowOff>76201</xdr:rowOff>
    </xdr:from>
    <xdr:to>
      <xdr:col>17</xdr:col>
      <xdr:colOff>85726</xdr:colOff>
      <xdr:row>88</xdr:row>
      <xdr:rowOff>95251</xdr:rowOff>
    </xdr:to>
    <xdr:sp macro="" textlink="">
      <xdr:nvSpPr>
        <xdr:cNvPr id="32" name="吹き出し: 角を丸めた四角形 31">
          <a:extLst>
            <a:ext uri="{FF2B5EF4-FFF2-40B4-BE49-F238E27FC236}">
              <a16:creationId xmlns:a16="http://schemas.microsoft.com/office/drawing/2014/main" id="{00000000-0008-0000-0300-000020000000}"/>
            </a:ext>
          </a:extLst>
        </xdr:cNvPr>
        <xdr:cNvSpPr/>
      </xdr:nvSpPr>
      <xdr:spPr bwMode="auto">
        <a:xfrm>
          <a:off x="5553076" y="14992351"/>
          <a:ext cx="361950" cy="190500"/>
        </a:xfrm>
        <a:prstGeom prst="wedgeRoundRectCallout">
          <a:avLst>
            <a:gd name="adj1" fmla="val -48624"/>
            <a:gd name="adj2" fmla="val -20792"/>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kumimoji="1" lang="en-US" altLang="ja-JP" sz="900"/>
            <a:t>※</a:t>
          </a:r>
          <a:endParaRPr kumimoji="1" lang="ja-JP" altLang="en-US" sz="900"/>
        </a:p>
      </xdr:txBody>
    </xdr:sp>
    <xdr:clientData/>
  </xdr:twoCellAnchor>
  <xdr:twoCellAnchor>
    <xdr:from>
      <xdr:col>10</xdr:col>
      <xdr:colOff>142875</xdr:colOff>
      <xdr:row>93</xdr:row>
      <xdr:rowOff>0</xdr:rowOff>
    </xdr:from>
    <xdr:to>
      <xdr:col>13</xdr:col>
      <xdr:colOff>142875</xdr:colOff>
      <xdr:row>94</xdr:row>
      <xdr:rowOff>152400</xdr:rowOff>
    </xdr:to>
    <xdr:cxnSp macro="">
      <xdr:nvCxnSpPr>
        <xdr:cNvPr id="33" name="直線矢印コネクタ 32">
          <a:extLst>
            <a:ext uri="{FF2B5EF4-FFF2-40B4-BE49-F238E27FC236}">
              <a16:creationId xmlns:a16="http://schemas.microsoft.com/office/drawing/2014/main" id="{00000000-0008-0000-0300-000021000000}"/>
            </a:ext>
          </a:extLst>
        </xdr:cNvPr>
        <xdr:cNvCxnSpPr/>
      </xdr:nvCxnSpPr>
      <xdr:spPr bwMode="auto">
        <a:xfrm flipH="1" flipV="1">
          <a:off x="3571875" y="15944850"/>
          <a:ext cx="1028700" cy="32385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114300</xdr:colOff>
      <xdr:row>94</xdr:row>
      <xdr:rowOff>19050</xdr:rowOff>
    </xdr:from>
    <xdr:to>
      <xdr:col>14</xdr:col>
      <xdr:colOff>323849</xdr:colOff>
      <xdr:row>96</xdr:row>
      <xdr:rowOff>66675</xdr:rowOff>
    </xdr:to>
    <xdr:sp macro="" textlink="">
      <xdr:nvSpPr>
        <xdr:cNvPr id="34" name="吹き出し: 角を丸めた四角形 33">
          <a:extLst>
            <a:ext uri="{FF2B5EF4-FFF2-40B4-BE49-F238E27FC236}">
              <a16:creationId xmlns:a16="http://schemas.microsoft.com/office/drawing/2014/main" id="{00000000-0008-0000-0300-000022000000}"/>
            </a:ext>
          </a:extLst>
        </xdr:cNvPr>
        <xdr:cNvSpPr/>
      </xdr:nvSpPr>
      <xdr:spPr bwMode="auto">
        <a:xfrm>
          <a:off x="3543300" y="16135350"/>
          <a:ext cx="1581149" cy="39052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研修費、附帯費のうち、補助金以外＝企業負担部分</a:t>
          </a:r>
        </a:p>
      </xdr:txBody>
    </xdr:sp>
    <xdr:clientData/>
  </xdr:twoCellAnchor>
  <xdr:twoCellAnchor>
    <xdr:from>
      <xdr:col>9</xdr:col>
      <xdr:colOff>285750</xdr:colOff>
      <xdr:row>87</xdr:row>
      <xdr:rowOff>114300</xdr:rowOff>
    </xdr:from>
    <xdr:to>
      <xdr:col>11</xdr:col>
      <xdr:colOff>133350</xdr:colOff>
      <xdr:row>88</xdr:row>
      <xdr:rowOff>19050</xdr:rowOff>
    </xdr:to>
    <xdr:cxnSp macro="">
      <xdr:nvCxnSpPr>
        <xdr:cNvPr id="35" name="直線矢印コネクタ 34">
          <a:extLst>
            <a:ext uri="{FF2B5EF4-FFF2-40B4-BE49-F238E27FC236}">
              <a16:creationId xmlns:a16="http://schemas.microsoft.com/office/drawing/2014/main" id="{00000000-0008-0000-0300-000023000000}"/>
            </a:ext>
          </a:extLst>
        </xdr:cNvPr>
        <xdr:cNvCxnSpPr/>
      </xdr:nvCxnSpPr>
      <xdr:spPr bwMode="auto">
        <a:xfrm flipH="1" flipV="1">
          <a:off x="3371850" y="15030450"/>
          <a:ext cx="533400" cy="7620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228599</xdr:colOff>
      <xdr:row>81</xdr:row>
      <xdr:rowOff>19050</xdr:rowOff>
    </xdr:from>
    <xdr:to>
      <xdr:col>17</xdr:col>
      <xdr:colOff>200025</xdr:colOff>
      <xdr:row>82</xdr:row>
      <xdr:rowOff>71438</xdr:rowOff>
    </xdr:to>
    <xdr:cxnSp macro="">
      <xdr:nvCxnSpPr>
        <xdr:cNvPr id="36" name="直線コネクタ 35">
          <a:extLst>
            <a:ext uri="{FF2B5EF4-FFF2-40B4-BE49-F238E27FC236}">
              <a16:creationId xmlns:a16="http://schemas.microsoft.com/office/drawing/2014/main" id="{00000000-0008-0000-0300-000024000000}"/>
            </a:ext>
          </a:extLst>
        </xdr:cNvPr>
        <xdr:cNvCxnSpPr>
          <a:stCxn id="28" idx="3"/>
        </xdr:cNvCxnSpPr>
      </xdr:nvCxnSpPr>
      <xdr:spPr bwMode="auto">
        <a:xfrm flipV="1">
          <a:off x="5714999" y="13906500"/>
          <a:ext cx="314326" cy="223838"/>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163073</xdr:colOff>
      <xdr:row>79</xdr:row>
      <xdr:rowOff>73450</xdr:rowOff>
    </xdr:from>
    <xdr:to>
      <xdr:col>17</xdr:col>
      <xdr:colOff>254354</xdr:colOff>
      <xdr:row>89</xdr:row>
      <xdr:rowOff>47625</xdr:rowOff>
    </xdr:to>
    <xdr:sp macro="" textlink="">
      <xdr:nvSpPr>
        <xdr:cNvPr id="37" name="フリーフォーム: 図形 36">
          <a:extLst>
            <a:ext uri="{FF2B5EF4-FFF2-40B4-BE49-F238E27FC236}">
              <a16:creationId xmlns:a16="http://schemas.microsoft.com/office/drawing/2014/main" id="{00000000-0008-0000-0300-000025000000}"/>
            </a:ext>
          </a:extLst>
        </xdr:cNvPr>
        <xdr:cNvSpPr/>
      </xdr:nvSpPr>
      <xdr:spPr bwMode="auto">
        <a:xfrm>
          <a:off x="4963673" y="13618000"/>
          <a:ext cx="1119981" cy="1688675"/>
        </a:xfrm>
        <a:custGeom>
          <a:avLst/>
          <a:gdLst>
            <a:gd name="connsiteX0" fmla="*/ 541777 w 1119981"/>
            <a:gd name="connsiteY0" fmla="*/ 1688675 h 1688675"/>
            <a:gd name="connsiteX1" fmla="*/ 1084702 w 1119981"/>
            <a:gd name="connsiteY1" fmla="*/ 1002875 h 1688675"/>
            <a:gd name="connsiteX2" fmla="*/ 960877 w 1119981"/>
            <a:gd name="connsiteY2" fmla="*/ 88475 h 1688675"/>
            <a:gd name="connsiteX3" fmla="*/ 103627 w 1119981"/>
            <a:gd name="connsiteY3" fmla="*/ 31325 h 1688675"/>
            <a:gd name="connsiteX4" fmla="*/ 46477 w 1119981"/>
            <a:gd name="connsiteY4" fmla="*/ 50375 h 16886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19981" h="1688675">
              <a:moveTo>
                <a:pt x="541777" y="1688675"/>
              </a:moveTo>
              <a:cubicBezTo>
                <a:pt x="778314" y="1479125"/>
                <a:pt x="1014852" y="1269575"/>
                <a:pt x="1084702" y="1002875"/>
              </a:cubicBezTo>
              <a:cubicBezTo>
                <a:pt x="1154552" y="736175"/>
                <a:pt x="1124389" y="250400"/>
                <a:pt x="960877" y="88475"/>
              </a:cubicBezTo>
              <a:cubicBezTo>
                <a:pt x="797365" y="-73450"/>
                <a:pt x="256027" y="37675"/>
                <a:pt x="103627" y="31325"/>
              </a:cubicBezTo>
              <a:cubicBezTo>
                <a:pt x="-48773" y="24975"/>
                <a:pt x="-1148" y="37675"/>
                <a:pt x="46477" y="50375"/>
              </a:cubicBez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0</xdr:colOff>
      <xdr:row>85</xdr:row>
      <xdr:rowOff>47625</xdr:rowOff>
    </xdr:from>
    <xdr:to>
      <xdr:col>17</xdr:col>
      <xdr:colOff>304800</xdr:colOff>
      <xdr:row>94</xdr:row>
      <xdr:rowOff>123825</xdr:rowOff>
    </xdr:to>
    <xdr:sp macro="" textlink="">
      <xdr:nvSpPr>
        <xdr:cNvPr id="38" name="吹き出し: 角を丸めた四角形 37">
          <a:extLst>
            <a:ext uri="{FF2B5EF4-FFF2-40B4-BE49-F238E27FC236}">
              <a16:creationId xmlns:a16="http://schemas.microsoft.com/office/drawing/2014/main" id="{00000000-0008-0000-0300-000026000000}"/>
            </a:ext>
          </a:extLst>
        </xdr:cNvPr>
        <xdr:cNvSpPr/>
      </xdr:nvSpPr>
      <xdr:spPr bwMode="auto">
        <a:xfrm>
          <a:off x="5829300" y="14620875"/>
          <a:ext cx="304800" cy="1619250"/>
        </a:xfrm>
        <a:prstGeom prst="wedgeRoundRectCallout">
          <a:avLst>
            <a:gd name="adj1" fmla="val -48624"/>
            <a:gd name="adj2" fmla="val -20792"/>
            <a:gd name="adj3" fmla="val 16667"/>
          </a:avLst>
        </a:prstGeom>
        <a:solidFill>
          <a:schemeClr val="bg1"/>
        </a:solidFill>
        <a:ln w="9525" cap="flat" cmpd="sng" algn="ctr">
          <a:noFill/>
          <a:prstDash val="solid"/>
          <a:round/>
          <a:headEnd type="none" w="med" len="med"/>
          <a:tailEnd type="none" w="med" len="med"/>
        </a:ln>
        <a:effectLst/>
      </xdr:spPr>
      <xdr:txBody>
        <a:bodyPr vertOverflow="clip" vert="eaVert" wrap="square" lIns="18288" tIns="0" rIns="0" bIns="0" rtlCol="0" anchor="ctr" upright="1"/>
        <a:lstStyle/>
        <a:p>
          <a:pPr algn="l"/>
          <a:r>
            <a:rPr kumimoji="1" lang="en-US" altLang="ja-JP" sz="900"/>
            <a:t>※</a:t>
          </a:r>
          <a:r>
            <a:rPr kumimoji="1" lang="ja-JP" altLang="en-US" sz="900"/>
            <a:t>この２つ合計が受入分担金</a:t>
          </a:r>
        </a:p>
      </xdr:txBody>
    </xdr:sp>
    <xdr:clientData/>
  </xdr:twoCellAnchor>
  <xdr:twoCellAnchor>
    <xdr:from>
      <xdr:col>11</xdr:col>
      <xdr:colOff>190500</xdr:colOff>
      <xdr:row>87</xdr:row>
      <xdr:rowOff>66675</xdr:rowOff>
    </xdr:from>
    <xdr:to>
      <xdr:col>16</xdr:col>
      <xdr:colOff>57149</xdr:colOff>
      <xdr:row>89</xdr:row>
      <xdr:rowOff>114300</xdr:rowOff>
    </xdr:to>
    <xdr:sp macro="" textlink="">
      <xdr:nvSpPr>
        <xdr:cNvPr id="39" name="吹き出し: 角を丸めた四角形 38">
          <a:extLst>
            <a:ext uri="{FF2B5EF4-FFF2-40B4-BE49-F238E27FC236}">
              <a16:creationId xmlns:a16="http://schemas.microsoft.com/office/drawing/2014/main" id="{00000000-0008-0000-0300-000027000000}"/>
            </a:ext>
          </a:extLst>
        </xdr:cNvPr>
        <xdr:cNvSpPr/>
      </xdr:nvSpPr>
      <xdr:spPr bwMode="auto">
        <a:xfrm>
          <a:off x="3962400" y="14982825"/>
          <a:ext cx="1581149" cy="39052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企業が立替えをしており、企業が負担する部分</a:t>
          </a:r>
        </a:p>
      </xdr:txBody>
    </xdr:sp>
    <xdr:clientData/>
  </xdr:twoCellAnchor>
  <xdr:twoCellAnchor>
    <xdr:from>
      <xdr:col>16</xdr:col>
      <xdr:colOff>219076</xdr:colOff>
      <xdr:row>80</xdr:row>
      <xdr:rowOff>114301</xdr:rowOff>
    </xdr:from>
    <xdr:to>
      <xdr:col>17</xdr:col>
      <xdr:colOff>238126</xdr:colOff>
      <xdr:row>81</xdr:row>
      <xdr:rowOff>133351</xdr:rowOff>
    </xdr:to>
    <xdr:sp macro="" textlink="">
      <xdr:nvSpPr>
        <xdr:cNvPr id="40" name="吹き出し: 角を丸めた四角形 39">
          <a:extLst>
            <a:ext uri="{FF2B5EF4-FFF2-40B4-BE49-F238E27FC236}">
              <a16:creationId xmlns:a16="http://schemas.microsoft.com/office/drawing/2014/main" id="{00000000-0008-0000-0300-000028000000}"/>
            </a:ext>
          </a:extLst>
        </xdr:cNvPr>
        <xdr:cNvSpPr/>
      </xdr:nvSpPr>
      <xdr:spPr bwMode="auto">
        <a:xfrm>
          <a:off x="5705476" y="13830301"/>
          <a:ext cx="361950" cy="190500"/>
        </a:xfrm>
        <a:prstGeom prst="wedgeRoundRectCallout">
          <a:avLst>
            <a:gd name="adj1" fmla="val -48624"/>
            <a:gd name="adj2" fmla="val -20792"/>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kumimoji="1" lang="en-US" altLang="ja-JP" sz="900"/>
            <a:t>※</a:t>
          </a:r>
          <a:endParaRPr kumimoji="1" lang="ja-JP" altLang="en-US" sz="900"/>
        </a:p>
      </xdr:txBody>
    </xdr:sp>
    <xdr:clientData/>
  </xdr:twoCellAnchor>
  <xdr:twoCellAnchor>
    <xdr:from>
      <xdr:col>0</xdr:col>
      <xdr:colOff>38100</xdr:colOff>
      <xdr:row>97</xdr:row>
      <xdr:rowOff>63500</xdr:rowOff>
    </xdr:from>
    <xdr:to>
      <xdr:col>1</xdr:col>
      <xdr:colOff>9525</xdr:colOff>
      <xdr:row>99</xdr:row>
      <xdr:rowOff>34925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bwMode="auto">
        <a:xfrm>
          <a:off x="38100" y="15770225"/>
          <a:ext cx="285750" cy="29527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５</a:t>
          </a:r>
        </a:p>
      </xdr:txBody>
    </xdr:sp>
    <xdr:clientData/>
  </xdr:twoCellAnchor>
  <xdr:twoCellAnchor>
    <xdr:from>
      <xdr:col>0</xdr:col>
      <xdr:colOff>311897</xdr:colOff>
      <xdr:row>100</xdr:row>
      <xdr:rowOff>36233</xdr:rowOff>
    </xdr:from>
    <xdr:to>
      <xdr:col>16</xdr:col>
      <xdr:colOff>17183</xdr:colOff>
      <xdr:row>101</xdr:row>
      <xdr:rowOff>152960</xdr:rowOff>
    </xdr:to>
    <xdr:sp macro="" textlink="">
      <xdr:nvSpPr>
        <xdr:cNvPr id="44" name="吹き出し: 角を丸めた四角形 43">
          <a:extLst>
            <a:ext uri="{FF2B5EF4-FFF2-40B4-BE49-F238E27FC236}">
              <a16:creationId xmlns:a16="http://schemas.microsoft.com/office/drawing/2014/main" id="{00000000-0008-0000-0300-00002C000000}"/>
            </a:ext>
          </a:extLst>
        </xdr:cNvPr>
        <xdr:cNvSpPr/>
      </xdr:nvSpPr>
      <xdr:spPr bwMode="auto">
        <a:xfrm>
          <a:off x="311897" y="16471527"/>
          <a:ext cx="4725521" cy="281080"/>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t>企業が受取る補助金と企業が支払う額を相殺する、つまり、</a:t>
          </a:r>
          <a:endParaRPr kumimoji="1" lang="en-US" altLang="ja-JP" sz="1050"/>
        </a:p>
      </xdr:txBody>
    </xdr:sp>
    <xdr:clientData/>
  </xdr:twoCellAnchor>
  <xdr:twoCellAnchor editAs="oneCell">
    <xdr:from>
      <xdr:col>1</xdr:col>
      <xdr:colOff>9525</xdr:colOff>
      <xdr:row>124</xdr:row>
      <xdr:rowOff>123825</xdr:rowOff>
    </xdr:from>
    <xdr:to>
      <xdr:col>17</xdr:col>
      <xdr:colOff>15875</xdr:colOff>
      <xdr:row>137</xdr:row>
      <xdr:rowOff>40629</xdr:rowOff>
    </xdr:to>
    <xdr:pic>
      <xdr:nvPicPr>
        <xdr:cNvPr id="58" name="図 57">
          <a:extLst>
            <a:ext uri="{FF2B5EF4-FFF2-40B4-BE49-F238E27FC236}">
              <a16:creationId xmlns:a16="http://schemas.microsoft.com/office/drawing/2014/main" id="{00000000-0008-0000-0300-00003A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6971" r="12114"/>
        <a:stretch/>
      </xdr:blipFill>
      <xdr:spPr bwMode="auto">
        <a:xfrm>
          <a:off x="323850" y="20202525"/>
          <a:ext cx="5035550" cy="2021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34925</xdr:colOff>
      <xdr:row>118</xdr:row>
      <xdr:rowOff>111125</xdr:rowOff>
    </xdr:from>
    <xdr:to>
      <xdr:col>1</xdr:col>
      <xdr:colOff>6350</xdr:colOff>
      <xdr:row>120</xdr:row>
      <xdr:rowOff>82550</xdr:rowOff>
    </xdr:to>
    <xdr:sp macro="" textlink="">
      <xdr:nvSpPr>
        <xdr:cNvPr id="59" name="正方形/長方形 58">
          <a:extLst>
            <a:ext uri="{FF2B5EF4-FFF2-40B4-BE49-F238E27FC236}">
              <a16:creationId xmlns:a16="http://schemas.microsoft.com/office/drawing/2014/main" id="{00000000-0008-0000-0300-00003B000000}"/>
            </a:ext>
          </a:extLst>
        </xdr:cNvPr>
        <xdr:cNvSpPr/>
      </xdr:nvSpPr>
      <xdr:spPr bwMode="auto">
        <a:xfrm>
          <a:off x="34925" y="19218275"/>
          <a:ext cx="285750" cy="29527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６</a:t>
          </a:r>
        </a:p>
      </xdr:txBody>
    </xdr:sp>
    <xdr:clientData/>
  </xdr:twoCellAnchor>
  <xdr:twoCellAnchor>
    <xdr:from>
      <xdr:col>0</xdr:col>
      <xdr:colOff>745</xdr:colOff>
      <xdr:row>102</xdr:row>
      <xdr:rowOff>82558</xdr:rowOff>
    </xdr:from>
    <xdr:to>
      <xdr:col>18</xdr:col>
      <xdr:colOff>159495</xdr:colOff>
      <xdr:row>118</xdr:row>
      <xdr:rowOff>8224</xdr:rowOff>
    </xdr:to>
    <xdr:grpSp>
      <xdr:nvGrpSpPr>
        <xdr:cNvPr id="65" name="グループ化 64">
          <a:extLst>
            <a:ext uri="{FF2B5EF4-FFF2-40B4-BE49-F238E27FC236}">
              <a16:creationId xmlns:a16="http://schemas.microsoft.com/office/drawing/2014/main" id="{00000000-0008-0000-0300-000041000000}"/>
            </a:ext>
          </a:extLst>
        </xdr:cNvPr>
        <xdr:cNvGrpSpPr/>
      </xdr:nvGrpSpPr>
      <xdr:grpSpPr>
        <a:xfrm>
          <a:off x="745" y="17456158"/>
          <a:ext cx="5645150" cy="2650937"/>
          <a:chOff x="38100" y="16598900"/>
          <a:chExt cx="5816600" cy="2516914"/>
        </a:xfrm>
      </xdr:grpSpPr>
      <xdr:sp macro="" textlink="">
        <xdr:nvSpPr>
          <xdr:cNvPr id="43" name="吹き出し: 角を丸めた四角形 42">
            <a:extLst>
              <a:ext uri="{FF2B5EF4-FFF2-40B4-BE49-F238E27FC236}">
                <a16:creationId xmlns:a16="http://schemas.microsoft.com/office/drawing/2014/main" id="{00000000-0008-0000-0300-00002B000000}"/>
              </a:ext>
            </a:extLst>
          </xdr:cNvPr>
          <xdr:cNvSpPr/>
        </xdr:nvSpPr>
        <xdr:spPr bwMode="auto">
          <a:xfrm>
            <a:off x="184149" y="16598900"/>
            <a:ext cx="5607051" cy="460376"/>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｛企業立替額</a:t>
            </a:r>
            <a:r>
              <a:rPr lang="en-US" altLang="ja-JP" sz="1100">
                <a:effectLst/>
                <a:latin typeface="+mn-lt"/>
                <a:ea typeface="+mn-ea"/>
                <a:cs typeface="+mn-cs"/>
              </a:rPr>
              <a:t> - </a:t>
            </a:r>
            <a:r>
              <a:rPr lang="ja-JP" altLang="ja-JP" sz="1100">
                <a:effectLst/>
                <a:latin typeface="+mn-lt"/>
                <a:ea typeface="+mn-ea"/>
                <a:cs typeface="+mn-cs"/>
              </a:rPr>
              <a:t>企業立替額</a:t>
            </a:r>
            <a:r>
              <a:rPr lang="en-US" altLang="ja-JP" sz="1100">
                <a:effectLst/>
                <a:latin typeface="+mn-lt"/>
                <a:ea typeface="+mn-ea"/>
                <a:cs typeface="+mn-cs"/>
              </a:rPr>
              <a:t>×</a:t>
            </a:r>
            <a:r>
              <a:rPr lang="ja-JP" altLang="ja-JP" sz="1100">
                <a:effectLst/>
                <a:latin typeface="+mn-lt"/>
                <a:ea typeface="+mn-ea"/>
                <a:cs typeface="+mn-cs"/>
              </a:rPr>
              <a:t>（</a:t>
            </a:r>
            <a:r>
              <a:rPr lang="en-US" altLang="ja-JP" sz="1100">
                <a:effectLst/>
                <a:latin typeface="+mn-lt"/>
                <a:ea typeface="+mn-ea"/>
                <a:cs typeface="+mn-cs"/>
              </a:rPr>
              <a:t>1-</a:t>
            </a:r>
            <a:r>
              <a:rPr lang="ja-JP" altLang="ja-JP" sz="1100">
                <a:effectLst/>
                <a:latin typeface="+mn-lt"/>
                <a:ea typeface="+mn-ea"/>
                <a:cs typeface="+mn-cs"/>
              </a:rPr>
              <a:t>補助率）｝</a:t>
            </a:r>
            <a:r>
              <a:rPr lang="en-US" altLang="ja-JP" sz="1100">
                <a:effectLst/>
                <a:latin typeface="+mn-lt"/>
                <a:ea typeface="+mn-ea"/>
                <a:cs typeface="+mn-cs"/>
              </a:rPr>
              <a:t>―</a:t>
            </a:r>
            <a:r>
              <a:rPr lang="ja-JP" altLang="ja-JP" sz="1100">
                <a:effectLst/>
                <a:latin typeface="+mn-lt"/>
                <a:ea typeface="+mn-ea"/>
                <a:cs typeface="+mn-cs"/>
              </a:rPr>
              <a:t>｛</a:t>
            </a:r>
            <a:r>
              <a:rPr lang="en-US" altLang="ja-JP" sz="1100">
                <a:effectLst/>
                <a:latin typeface="+mn-lt"/>
                <a:ea typeface="+mn-ea"/>
                <a:cs typeface="+mn-cs"/>
              </a:rPr>
              <a:t>AOTS</a:t>
            </a:r>
            <a:r>
              <a:rPr lang="ja-JP" altLang="ja-JP" sz="1100">
                <a:effectLst/>
                <a:latin typeface="+mn-lt"/>
                <a:ea typeface="+mn-ea"/>
                <a:cs typeface="+mn-cs"/>
              </a:rPr>
              <a:t>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 ―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p>
        </xdr:txBody>
      </xdr:sp>
      <xdr:sp macro="" textlink="">
        <xdr:nvSpPr>
          <xdr:cNvPr id="45" name="吹き出し: 角を丸めた四角形 44">
            <a:extLst>
              <a:ext uri="{FF2B5EF4-FFF2-40B4-BE49-F238E27FC236}">
                <a16:creationId xmlns:a16="http://schemas.microsoft.com/office/drawing/2014/main" id="{00000000-0008-0000-0300-00002D000000}"/>
              </a:ext>
            </a:extLst>
          </xdr:cNvPr>
          <xdr:cNvSpPr/>
        </xdr:nvSpPr>
        <xdr:spPr bwMode="auto">
          <a:xfrm>
            <a:off x="396875" y="17065625"/>
            <a:ext cx="1660525" cy="336550"/>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企業が立替えた額のうち、</a:t>
            </a:r>
            <a:endParaRPr kumimoji="1" lang="en-US" altLang="ja-JP" sz="900"/>
          </a:p>
          <a:p>
            <a:pPr algn="l"/>
            <a:r>
              <a:rPr kumimoji="1" lang="ja-JP" altLang="en-US" sz="900"/>
              <a:t>企業が補助金を受け取る部分</a:t>
            </a:r>
          </a:p>
        </xdr:txBody>
      </xdr:sp>
      <xdr:cxnSp macro="">
        <xdr:nvCxnSpPr>
          <xdr:cNvPr id="46" name="直線コネクタ 45">
            <a:extLst>
              <a:ext uri="{FF2B5EF4-FFF2-40B4-BE49-F238E27FC236}">
                <a16:creationId xmlns:a16="http://schemas.microsoft.com/office/drawing/2014/main" id="{00000000-0008-0000-0300-00002E000000}"/>
              </a:ext>
            </a:extLst>
          </xdr:cNvPr>
          <xdr:cNvCxnSpPr/>
        </xdr:nvCxnSpPr>
        <xdr:spPr bwMode="auto">
          <a:xfrm>
            <a:off x="381000" y="17002125"/>
            <a:ext cx="2219325" cy="0"/>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xnSp macro="">
        <xdr:nvCxnSpPr>
          <xdr:cNvPr id="47" name="直線コネクタ 46">
            <a:extLst>
              <a:ext uri="{FF2B5EF4-FFF2-40B4-BE49-F238E27FC236}">
                <a16:creationId xmlns:a16="http://schemas.microsoft.com/office/drawing/2014/main" id="{00000000-0008-0000-0300-00002F000000}"/>
              </a:ext>
            </a:extLst>
          </xdr:cNvPr>
          <xdr:cNvCxnSpPr/>
        </xdr:nvCxnSpPr>
        <xdr:spPr bwMode="auto">
          <a:xfrm>
            <a:off x="2930525" y="17002125"/>
            <a:ext cx="1428750" cy="0"/>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48" name="吹き出し: 角を丸めた四角形 47">
            <a:extLst>
              <a:ext uri="{FF2B5EF4-FFF2-40B4-BE49-F238E27FC236}">
                <a16:creationId xmlns:a16="http://schemas.microsoft.com/office/drawing/2014/main" id="{00000000-0008-0000-0300-000030000000}"/>
              </a:ext>
            </a:extLst>
          </xdr:cNvPr>
          <xdr:cNvSpPr/>
        </xdr:nvSpPr>
        <xdr:spPr bwMode="auto">
          <a:xfrm>
            <a:off x="2854325" y="17068800"/>
            <a:ext cx="1473199" cy="517524"/>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en-US" altLang="ja-JP" sz="900"/>
              <a:t>AOTS</a:t>
            </a:r>
            <a:r>
              <a:rPr kumimoji="1" lang="ja-JP" altLang="en-US" sz="900"/>
              <a:t>が立替えをしているもののうち、補助金以外の部分＝企業負担の部分</a:t>
            </a:r>
          </a:p>
        </xdr:txBody>
      </xdr:sp>
      <xdr:sp macro="" textlink="">
        <xdr:nvSpPr>
          <xdr:cNvPr id="49" name="吹き出し: 角を丸めた四角形 48">
            <a:extLst>
              <a:ext uri="{FF2B5EF4-FFF2-40B4-BE49-F238E27FC236}">
                <a16:creationId xmlns:a16="http://schemas.microsoft.com/office/drawing/2014/main" id="{00000000-0008-0000-0300-000031000000}"/>
              </a:ext>
            </a:extLst>
          </xdr:cNvPr>
          <xdr:cNvSpPr/>
        </xdr:nvSpPr>
        <xdr:spPr bwMode="auto">
          <a:xfrm>
            <a:off x="4591051" y="17113250"/>
            <a:ext cx="1006475" cy="48577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研修費、附帯費のうち、補助金以外＝企業負担部分</a:t>
            </a:r>
          </a:p>
        </xdr:txBody>
      </xdr:sp>
      <xdr:cxnSp macro="">
        <xdr:nvCxnSpPr>
          <xdr:cNvPr id="50" name="直線コネクタ 49">
            <a:extLst>
              <a:ext uri="{FF2B5EF4-FFF2-40B4-BE49-F238E27FC236}">
                <a16:creationId xmlns:a16="http://schemas.microsoft.com/office/drawing/2014/main" id="{00000000-0008-0000-0300-000032000000}"/>
              </a:ext>
            </a:extLst>
          </xdr:cNvPr>
          <xdr:cNvCxnSpPr/>
        </xdr:nvCxnSpPr>
        <xdr:spPr bwMode="auto">
          <a:xfrm>
            <a:off x="4749800" y="16970375"/>
            <a:ext cx="879475" cy="317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51" name="吹き出し: 角を丸めた四角形 50">
            <a:extLst>
              <a:ext uri="{FF2B5EF4-FFF2-40B4-BE49-F238E27FC236}">
                <a16:creationId xmlns:a16="http://schemas.microsoft.com/office/drawing/2014/main" id="{00000000-0008-0000-0300-000033000000}"/>
              </a:ext>
            </a:extLst>
          </xdr:cNvPr>
          <xdr:cNvSpPr/>
        </xdr:nvSpPr>
        <xdr:spPr bwMode="auto">
          <a:xfrm>
            <a:off x="76200" y="17545050"/>
            <a:ext cx="5778500" cy="596900"/>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a:t>
            </a:r>
            <a:r>
              <a:rPr lang="ja-JP" altLang="ja-JP" sz="1100">
                <a:effectLst/>
                <a:latin typeface="+mn-lt"/>
                <a:ea typeface="+mn-ea"/>
                <a:cs typeface="+mn-cs"/>
              </a:rPr>
              <a:t>｛企業立替額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AOTS</a:t>
            </a:r>
            <a:r>
              <a:rPr lang="ja-JP" altLang="ja-JP" sz="1100">
                <a:effectLst/>
                <a:latin typeface="+mn-lt"/>
                <a:ea typeface="+mn-ea"/>
                <a:cs typeface="+mn-cs"/>
              </a:rPr>
              <a:t>立替額</a:t>
            </a:r>
            <a:r>
              <a:rPr lang="en-US" altLang="ja-JP" sz="1100">
                <a:effectLst/>
                <a:latin typeface="+mn-lt"/>
                <a:ea typeface="+mn-ea"/>
                <a:cs typeface="+mn-cs"/>
              </a:rPr>
              <a:t>×</a:t>
            </a:r>
            <a:r>
              <a:rPr lang="ja-JP" altLang="ja-JP" sz="1100">
                <a:effectLst/>
                <a:latin typeface="+mn-lt"/>
                <a:ea typeface="+mn-ea"/>
                <a:cs typeface="+mn-cs"/>
              </a:rPr>
              <a:t>（１</a:t>
            </a:r>
            <a:r>
              <a:rPr lang="en-US" altLang="ja-JP" sz="1100">
                <a:effectLst/>
                <a:latin typeface="+mn-lt"/>
                <a:ea typeface="+mn-ea"/>
                <a:cs typeface="+mn-cs"/>
              </a:rPr>
              <a:t>-</a:t>
            </a:r>
            <a:r>
              <a:rPr lang="ja-JP" altLang="ja-JP" sz="1100">
                <a:effectLst/>
                <a:latin typeface="+mn-lt"/>
                <a:ea typeface="+mn-ea"/>
                <a:cs typeface="+mn-cs"/>
              </a:rPr>
              <a:t>補助率）｝</a:t>
            </a:r>
            <a:r>
              <a:rPr lang="en-US" altLang="ja-JP" sz="1100">
                <a:effectLst/>
                <a:latin typeface="+mn-lt"/>
                <a:ea typeface="+mn-ea"/>
                <a:cs typeface="+mn-cs"/>
              </a:rPr>
              <a:t>―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endParaRPr lang="ja-JP" altLang="ja-JP">
              <a:effectLst/>
            </a:endParaRPr>
          </a:p>
        </xdr:txBody>
      </xdr:sp>
      <xdr:cxnSp macro="">
        <xdr:nvCxnSpPr>
          <xdr:cNvPr id="53" name="直線コネクタ 52">
            <a:extLst>
              <a:ext uri="{FF2B5EF4-FFF2-40B4-BE49-F238E27FC236}">
                <a16:creationId xmlns:a16="http://schemas.microsoft.com/office/drawing/2014/main" id="{00000000-0008-0000-0300-000035000000}"/>
              </a:ext>
            </a:extLst>
          </xdr:cNvPr>
          <xdr:cNvCxnSpPr/>
        </xdr:nvCxnSpPr>
        <xdr:spPr bwMode="auto">
          <a:xfrm>
            <a:off x="1285875" y="18018125"/>
            <a:ext cx="2895600" cy="952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54" name="吹き出し: 角を丸めた四角形 53">
            <a:extLst>
              <a:ext uri="{FF2B5EF4-FFF2-40B4-BE49-F238E27FC236}">
                <a16:creationId xmlns:a16="http://schemas.microsoft.com/office/drawing/2014/main" id="{00000000-0008-0000-0300-000036000000}"/>
              </a:ext>
            </a:extLst>
          </xdr:cNvPr>
          <xdr:cNvSpPr/>
        </xdr:nvSpPr>
        <xdr:spPr bwMode="auto">
          <a:xfrm>
            <a:off x="1806575" y="18107025"/>
            <a:ext cx="1289050" cy="273050"/>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900"/>
              <a:t>受入分担金</a:t>
            </a:r>
          </a:p>
        </xdr:txBody>
      </xdr:sp>
      <xdr:cxnSp macro="">
        <xdr:nvCxnSpPr>
          <xdr:cNvPr id="55" name="直線コネクタ 54">
            <a:extLst>
              <a:ext uri="{FF2B5EF4-FFF2-40B4-BE49-F238E27FC236}">
                <a16:creationId xmlns:a16="http://schemas.microsoft.com/office/drawing/2014/main" id="{00000000-0008-0000-0300-000037000000}"/>
              </a:ext>
            </a:extLst>
          </xdr:cNvPr>
          <xdr:cNvCxnSpPr/>
        </xdr:nvCxnSpPr>
        <xdr:spPr bwMode="auto">
          <a:xfrm>
            <a:off x="4616450" y="18008600"/>
            <a:ext cx="847725" cy="3175"/>
          </a:xfrm>
          <a:prstGeom prst="line">
            <a:avLst/>
          </a:prstGeom>
          <a:ln w="34925" cmpd="db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sp macro="" textlink="">
        <xdr:nvSpPr>
          <xdr:cNvPr id="57" name="吹き出し: 角を丸めた四角形 56">
            <a:extLst>
              <a:ext uri="{FF2B5EF4-FFF2-40B4-BE49-F238E27FC236}">
                <a16:creationId xmlns:a16="http://schemas.microsoft.com/office/drawing/2014/main" id="{00000000-0008-0000-0300-000039000000}"/>
              </a:ext>
            </a:extLst>
          </xdr:cNvPr>
          <xdr:cNvSpPr/>
        </xdr:nvSpPr>
        <xdr:spPr bwMode="auto">
          <a:xfrm>
            <a:off x="57150" y="18422656"/>
            <a:ext cx="5426075" cy="406400"/>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a:t>
            </a:r>
            <a:r>
              <a:rPr lang="ja-JP" altLang="en-US" sz="1100">
                <a:effectLst/>
                <a:latin typeface="+mn-lt"/>
                <a:ea typeface="+mn-ea"/>
                <a:cs typeface="+mn-cs"/>
              </a:rPr>
              <a:t>受入分担金</a:t>
            </a:r>
            <a:r>
              <a:rPr lang="en-US" altLang="ja-JP" sz="1100">
                <a:effectLst/>
                <a:latin typeface="+mn-lt"/>
                <a:ea typeface="+mn-ea"/>
                <a:cs typeface="+mn-cs"/>
              </a:rPr>
              <a:t>― </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endParaRPr lang="ja-JP" altLang="ja-JP">
              <a:effectLst/>
            </a:endParaRPr>
          </a:p>
        </xdr:txBody>
      </xdr:sp>
      <xdr:sp macro="" textlink="">
        <xdr:nvSpPr>
          <xdr:cNvPr id="61" name="吹き出し: 角を丸めた四角形 60">
            <a:extLst>
              <a:ext uri="{FF2B5EF4-FFF2-40B4-BE49-F238E27FC236}">
                <a16:creationId xmlns:a16="http://schemas.microsoft.com/office/drawing/2014/main" id="{00000000-0008-0000-0300-00003D000000}"/>
              </a:ext>
            </a:extLst>
          </xdr:cNvPr>
          <xdr:cNvSpPr/>
        </xdr:nvSpPr>
        <xdr:spPr bwMode="auto">
          <a:xfrm>
            <a:off x="38100" y="18712589"/>
            <a:ext cx="5426075" cy="403225"/>
          </a:xfrm>
          <a:prstGeom prst="wedgeRoundRectCallout">
            <a:avLst>
              <a:gd name="adj1" fmla="val 11649"/>
              <a:gd name="adj2" fmla="val -41026"/>
              <a:gd name="adj3" fmla="val 16667"/>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ja-JP" altLang="ja-JP" sz="1100">
                <a:effectLst/>
                <a:latin typeface="+mn-lt"/>
                <a:ea typeface="+mn-ea"/>
                <a:cs typeface="+mn-cs"/>
              </a:rPr>
              <a:t>＝企業立替</a:t>
            </a:r>
            <a:r>
              <a:rPr lang="ja-JP" altLang="en-US" sz="1100">
                <a:effectLst/>
                <a:latin typeface="+mn-lt"/>
                <a:ea typeface="+mn-ea"/>
                <a:cs typeface="+mn-cs"/>
              </a:rPr>
              <a:t>額</a:t>
            </a:r>
            <a:r>
              <a:rPr lang="en-US" altLang="ja-JP" sz="1100">
                <a:effectLst/>
                <a:latin typeface="+mn-lt"/>
                <a:ea typeface="+mn-ea"/>
                <a:cs typeface="+mn-cs"/>
              </a:rPr>
              <a:t>  ― ( </a:t>
            </a:r>
            <a:r>
              <a:rPr lang="ja-JP" altLang="en-US" sz="1100">
                <a:effectLst/>
                <a:latin typeface="+mn-lt"/>
                <a:ea typeface="+mn-ea"/>
                <a:cs typeface="+mn-cs"/>
              </a:rPr>
              <a:t>受入分担金＋</a:t>
            </a:r>
            <a:r>
              <a:rPr lang="ja-JP" altLang="ja-JP" sz="1100">
                <a:effectLst/>
                <a:latin typeface="+mn-lt"/>
                <a:ea typeface="+mn-ea"/>
                <a:cs typeface="+mn-cs"/>
              </a:rPr>
              <a:t>研修</a:t>
            </a:r>
            <a:r>
              <a:rPr lang="ja-JP" altLang="en-US" sz="1100">
                <a:effectLst/>
                <a:latin typeface="+mn-lt"/>
                <a:ea typeface="+mn-ea"/>
                <a:cs typeface="+mn-cs"/>
              </a:rPr>
              <a:t>実施</a:t>
            </a:r>
            <a:r>
              <a:rPr lang="ja-JP" altLang="ja-JP" sz="1100">
                <a:effectLst/>
                <a:latin typeface="+mn-lt"/>
                <a:ea typeface="+mn-ea"/>
                <a:cs typeface="+mn-cs"/>
              </a:rPr>
              <a:t>分担金</a:t>
            </a:r>
            <a:r>
              <a:rPr lang="ja-JP" altLang="en-US" sz="1100">
                <a:effectLst/>
                <a:latin typeface="+mn-lt"/>
                <a:ea typeface="+mn-ea"/>
                <a:cs typeface="+mn-cs"/>
              </a:rPr>
              <a:t>）</a:t>
            </a:r>
            <a:endParaRPr lang="ja-JP" altLang="ja-JP">
              <a:effectLst/>
            </a:endParaRPr>
          </a:p>
        </xdr:txBody>
      </xdr:sp>
    </xdr:grpSp>
    <xdr:clientData/>
  </xdr:twoCellAnchor>
  <xdr:twoCellAnchor>
    <xdr:from>
      <xdr:col>0</xdr:col>
      <xdr:colOff>47625</xdr:colOff>
      <xdr:row>139</xdr:row>
      <xdr:rowOff>0</xdr:rowOff>
    </xdr:from>
    <xdr:to>
      <xdr:col>1</xdr:col>
      <xdr:colOff>44450</xdr:colOff>
      <xdr:row>140</xdr:row>
      <xdr:rowOff>139700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7625" y="22507575"/>
          <a:ext cx="311150" cy="30162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７</a:t>
          </a:r>
        </a:p>
      </xdr:txBody>
    </xdr:sp>
    <xdr:clientData/>
  </xdr:twoCellAnchor>
  <xdr:twoCellAnchor>
    <xdr:from>
      <xdr:col>0</xdr:col>
      <xdr:colOff>47625</xdr:colOff>
      <xdr:row>141</xdr:row>
      <xdr:rowOff>112059</xdr:rowOff>
    </xdr:from>
    <xdr:to>
      <xdr:col>17</xdr:col>
      <xdr:colOff>273050</xdr:colOff>
      <xdr:row>169</xdr:row>
      <xdr:rowOff>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7625" y="22943484"/>
          <a:ext cx="5568950" cy="4421841"/>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r>
            <a:rPr lang="en-US" altLang="ja-JP" sz="1050" b="0" i="0">
              <a:effectLst/>
              <a:latin typeface="+mn-lt"/>
              <a:ea typeface="+mn-ea"/>
              <a:cs typeface="+mn-cs"/>
            </a:rPr>
            <a:t> </a:t>
          </a:r>
        </a:p>
        <a:p>
          <a:r>
            <a:rPr lang="en-US" altLang="ja-JP" sz="1050" b="0" i="0">
              <a:effectLst/>
              <a:latin typeface="+mn-lt"/>
              <a:ea typeface="+mn-ea"/>
              <a:cs typeface="+mn-cs"/>
            </a:rPr>
            <a:t> </a:t>
          </a:r>
          <a:r>
            <a:rPr lang="ja-JP" altLang="ja-JP" sz="1050" b="0" i="0">
              <a:effectLst/>
              <a:latin typeface="+mn-lt"/>
              <a:ea typeface="+mn-ea"/>
              <a:cs typeface="+mn-cs"/>
            </a:rPr>
            <a:t>・</a:t>
          </a:r>
          <a:r>
            <a:rPr lang="ja-JP" altLang="ja-JP" sz="1050">
              <a:effectLst/>
              <a:latin typeface="+mn-lt"/>
              <a:ea typeface="+mn-ea"/>
              <a:cs typeface="+mn-cs"/>
            </a:rPr>
            <a:t> </a:t>
          </a:r>
          <a:r>
            <a:rPr lang="ja-JP" altLang="ja-JP" sz="1050" b="0" i="0">
              <a:effectLst/>
              <a:latin typeface="+mn-lt"/>
              <a:ea typeface="+mn-ea"/>
              <a:cs typeface="+mn-cs"/>
            </a:rPr>
            <a:t>受入費の精算は月締めで翌月末に精算します。</a:t>
          </a:r>
          <a:endParaRPr lang="en-US" altLang="ja-JP" sz="1050" b="0" i="0">
            <a:effectLst/>
            <a:latin typeface="+mn-lt"/>
            <a:ea typeface="+mn-ea"/>
            <a:cs typeface="+mn-cs"/>
          </a:endParaRPr>
        </a:p>
        <a:p>
          <a:endParaRPr lang="ja-JP" altLang="ja-JP" sz="1050">
            <a:effectLst/>
          </a:endParaRPr>
        </a:p>
        <a:p>
          <a:r>
            <a:rPr lang="en-US" altLang="ja-JP" sz="1050" b="0" i="0">
              <a:effectLst/>
              <a:latin typeface="+mn-lt"/>
              <a:ea typeface="+mn-ea"/>
              <a:cs typeface="+mn-cs"/>
            </a:rPr>
            <a:t> </a:t>
          </a:r>
          <a:r>
            <a:rPr lang="ja-JP" altLang="ja-JP" sz="1050" b="0" i="0">
              <a:effectLst/>
              <a:latin typeface="+mn-lt"/>
              <a:ea typeface="+mn-ea"/>
              <a:cs typeface="+mn-cs"/>
            </a:rPr>
            <a:t>・</a:t>
          </a:r>
          <a:r>
            <a:rPr lang="ja-JP" altLang="ja-JP" sz="1050">
              <a:effectLst/>
              <a:latin typeface="+mn-lt"/>
              <a:ea typeface="+mn-ea"/>
              <a:cs typeface="+mn-cs"/>
            </a:rPr>
            <a:t> </a:t>
          </a:r>
          <a:r>
            <a:rPr lang="ja-JP" altLang="ja-JP" sz="1050" b="0" i="0">
              <a:effectLst/>
              <a:latin typeface="+mn-lt"/>
              <a:ea typeface="+mn-ea"/>
              <a:cs typeface="+mn-cs"/>
            </a:rPr>
            <a:t>研修生到着後にご提出頂く「研修生到着・受入通知並びに受入費申請書」に</a:t>
          </a:r>
          <a:br>
            <a:rPr lang="ja-JP" altLang="ja-JP" sz="1050" b="0" i="0">
              <a:effectLst/>
              <a:latin typeface="+mn-lt"/>
              <a:ea typeface="+mn-ea"/>
              <a:cs typeface="+mn-cs"/>
            </a:rPr>
          </a:br>
          <a:r>
            <a:rPr lang="en-US" altLang="ja-JP" sz="1050" b="0" i="0">
              <a:effectLst/>
              <a:latin typeface="+mn-lt"/>
              <a:ea typeface="+mn-ea"/>
              <a:cs typeface="+mn-cs"/>
            </a:rPr>
            <a:t> </a:t>
          </a:r>
          <a:r>
            <a:rPr lang="ja-JP" altLang="en-US" sz="1050" b="0" i="0">
              <a:effectLst/>
              <a:latin typeface="+mn-lt"/>
              <a:ea typeface="+mn-ea"/>
              <a:cs typeface="+mn-cs"/>
            </a:rPr>
            <a:t>　</a:t>
          </a:r>
          <a:r>
            <a:rPr lang="ja-JP" altLang="ja-JP" sz="1050" b="0" i="0">
              <a:effectLst/>
              <a:latin typeface="+mn-lt"/>
              <a:ea typeface="+mn-ea"/>
              <a:cs typeface="+mn-cs"/>
            </a:rPr>
            <a:t>「申請金額から受入分担金・研修実施分担金を差し引くことを　</a:t>
          </a:r>
          <a:r>
            <a:rPr lang="en-US" altLang="ja-JP" sz="1050" b="0" i="0">
              <a:effectLst/>
              <a:latin typeface="+mn-lt"/>
              <a:ea typeface="+mn-ea"/>
              <a:cs typeface="+mn-cs"/>
            </a:rPr>
            <a:t>&lt;</a:t>
          </a:r>
          <a:r>
            <a:rPr lang="ja-JP" altLang="ja-JP" sz="1050" b="0" i="0">
              <a:effectLst/>
              <a:latin typeface="+mn-lt"/>
              <a:ea typeface="+mn-ea"/>
              <a:cs typeface="+mn-cs"/>
            </a:rPr>
            <a:t>希望します＞</a:t>
          </a:r>
          <a:r>
            <a:rPr lang="en-US" altLang="ja-JP" sz="1050" b="0" i="0">
              <a:effectLst/>
              <a:latin typeface="+mn-lt"/>
              <a:ea typeface="+mn-ea"/>
              <a:cs typeface="+mn-cs"/>
            </a:rPr>
            <a:t>/&lt;</a:t>
          </a:r>
          <a:r>
            <a:rPr lang="ja-JP" altLang="ja-JP" sz="1050" b="0" i="0">
              <a:effectLst/>
              <a:latin typeface="+mn-lt"/>
              <a:ea typeface="+mn-ea"/>
              <a:cs typeface="+mn-cs"/>
            </a:rPr>
            <a:t>希望しない</a:t>
          </a:r>
          <a:r>
            <a:rPr lang="en-US" altLang="ja-JP" sz="1050" b="0" i="0">
              <a:effectLst/>
              <a:latin typeface="+mn-lt"/>
              <a:ea typeface="+mn-ea"/>
              <a:cs typeface="+mn-cs"/>
            </a:rPr>
            <a:t>&gt;</a:t>
          </a:r>
          <a:r>
            <a:rPr lang="ja-JP" altLang="ja-JP" sz="1050" b="0" i="0">
              <a:effectLst/>
              <a:latin typeface="+mn-lt"/>
              <a:ea typeface="+mn-ea"/>
              <a:cs typeface="+mn-cs"/>
            </a:rPr>
            <a:t>」を</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選択する欄があります。</a:t>
          </a:r>
          <a:br>
            <a:rPr lang="ja-JP" altLang="ja-JP" sz="1050" b="0" i="0">
              <a:effectLst/>
              <a:latin typeface="+mn-lt"/>
              <a:ea typeface="+mn-ea"/>
              <a:cs typeface="+mn-cs"/>
            </a:rPr>
          </a:br>
          <a:r>
            <a:rPr lang="en-US" altLang="ja-JP" sz="1050" b="0" i="0">
              <a:effectLst/>
              <a:latin typeface="+mn-lt"/>
              <a:ea typeface="+mn-ea"/>
              <a:cs typeface="+mn-cs"/>
            </a:rPr>
            <a:t>   </a:t>
          </a:r>
          <a:r>
            <a:rPr lang="ja-JP" altLang="ja-JP" sz="1050" b="0" i="0">
              <a:effectLst/>
              <a:latin typeface="+mn-lt"/>
              <a:ea typeface="+mn-ea"/>
              <a:cs typeface="+mn-cs"/>
            </a:rPr>
            <a:t>「希望する」を選択すると、</a:t>
          </a:r>
          <a:r>
            <a:rPr lang="en-US" altLang="ja-JP" sz="1050" b="0" i="0">
              <a:effectLst/>
              <a:latin typeface="+mn-lt"/>
              <a:ea typeface="+mn-ea"/>
              <a:cs typeface="+mn-cs"/>
            </a:rPr>
            <a:t>AOTS</a:t>
          </a:r>
          <a:r>
            <a:rPr lang="ja-JP" altLang="ja-JP" sz="1050" b="0" i="0">
              <a:effectLst/>
              <a:latin typeface="+mn-lt"/>
              <a:ea typeface="+mn-ea"/>
              <a:cs typeface="+mn-cs"/>
            </a:rPr>
            <a:t>から受入企業への支払いと、企業から</a:t>
          </a:r>
          <a:r>
            <a:rPr lang="en-US" altLang="ja-JP" sz="1050" b="0" i="0">
              <a:effectLst/>
              <a:latin typeface="+mn-lt"/>
              <a:ea typeface="+mn-ea"/>
              <a:cs typeface="+mn-cs"/>
            </a:rPr>
            <a:t>AOTS</a:t>
          </a:r>
          <a:r>
            <a:rPr lang="ja-JP" altLang="ja-JP" sz="1050" b="0" i="0">
              <a:effectLst/>
              <a:latin typeface="+mn-lt"/>
              <a:ea typeface="+mn-ea"/>
              <a:cs typeface="+mn-cs"/>
            </a:rPr>
            <a:t>への支払い（＝分担</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金の支払い）を相殺します。</a:t>
          </a:r>
          <a:endParaRPr lang="en-US" altLang="ja-JP" sz="1050" b="0" i="0">
            <a:effectLst/>
            <a:latin typeface="+mn-lt"/>
            <a:ea typeface="+mn-ea"/>
            <a:cs typeface="+mn-cs"/>
          </a:endParaRPr>
        </a:p>
        <a:p>
          <a:br>
            <a:rPr lang="ja-JP" altLang="ja-JP" sz="1050" b="0" i="0">
              <a:effectLst/>
              <a:latin typeface="+mn-lt"/>
              <a:ea typeface="+mn-ea"/>
              <a:cs typeface="+mn-cs"/>
            </a:rPr>
          </a:br>
          <a:r>
            <a:rPr lang="en-US" altLang="ja-JP" sz="1050" b="0" i="0">
              <a:effectLst/>
              <a:latin typeface="+mn-lt"/>
              <a:ea typeface="+mn-ea"/>
              <a:cs typeface="+mn-cs"/>
            </a:rPr>
            <a:t>  </a:t>
          </a:r>
          <a:r>
            <a:rPr lang="ja-JP" altLang="ja-JP" sz="1050" b="0" i="0">
              <a:effectLst/>
              <a:latin typeface="+mn-lt"/>
              <a:ea typeface="+mn-ea"/>
              <a:cs typeface="+mn-cs"/>
            </a:rPr>
            <a:t>精算時、マイナス額の場合は、繰越しますので、都度、お支払い頂く必要はありません。</a:t>
          </a:r>
          <a:r>
            <a:rPr lang="ja-JP" altLang="ja-JP" sz="1050">
              <a:effectLst/>
              <a:latin typeface="+mn-lt"/>
              <a:ea typeface="+mn-ea"/>
              <a:cs typeface="+mn-cs"/>
            </a:rPr>
            <a:t> </a:t>
          </a:r>
          <a:endParaRPr lang="en-US" altLang="ja-JP" sz="105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最終精算月に合計精算額がマイナスの場合、受入企業にお支払い頂きます。</a:t>
          </a:r>
          <a:endParaRPr lang="ja-JP" altLang="ja-JP" sz="1050">
            <a:effectLst/>
          </a:endParaRPr>
        </a:p>
        <a:p>
          <a:endParaRPr lang="en-US" altLang="ja-JP" sz="1050">
            <a:effectLst/>
            <a:latin typeface="+mn-lt"/>
            <a:ea typeface="+mn-ea"/>
            <a:cs typeface="+mn-cs"/>
          </a:endParaRPr>
        </a:p>
        <a:p>
          <a:r>
            <a:rPr lang="ja-JP" altLang="ja-JP" sz="1050">
              <a:effectLst/>
              <a:latin typeface="+mn-lt"/>
              <a:ea typeface="+mn-ea"/>
              <a:cs typeface="+mn-cs"/>
            </a:rPr>
            <a:t> </a:t>
          </a:r>
          <a:r>
            <a:rPr lang="en-US" altLang="ja-JP" sz="1050">
              <a:effectLst/>
              <a:latin typeface="+mn-lt"/>
              <a:ea typeface="+mn-ea"/>
              <a:cs typeface="+mn-cs"/>
            </a:rPr>
            <a:t> </a:t>
          </a:r>
          <a:r>
            <a:rPr lang="ja-JP" altLang="ja-JP" sz="1050" b="0" i="0">
              <a:effectLst/>
              <a:latin typeface="+mn-lt"/>
              <a:ea typeface="+mn-ea"/>
              <a:cs typeface="+mn-cs"/>
            </a:rPr>
            <a:t>・</a:t>
          </a:r>
          <a:r>
            <a:rPr lang="ja-JP" altLang="ja-JP" sz="1050">
              <a:effectLst/>
              <a:latin typeface="+mn-lt"/>
              <a:ea typeface="+mn-ea"/>
              <a:cs typeface="+mn-cs"/>
            </a:rPr>
            <a:t> </a:t>
          </a:r>
          <a:r>
            <a:rPr lang="ja-JP" altLang="ja-JP" sz="1050" b="0" i="0">
              <a:effectLst/>
              <a:latin typeface="+mn-lt"/>
              <a:ea typeface="+mn-ea"/>
              <a:cs typeface="+mn-cs"/>
            </a:rPr>
            <a:t>研修実施分担金は来日月に請求いたします。</a:t>
          </a:r>
          <a:endParaRPr lang="en-US" altLang="ja-JP" sz="1050" b="0" i="0">
            <a:effectLst/>
            <a:latin typeface="+mn-lt"/>
            <a:ea typeface="+mn-ea"/>
            <a:cs typeface="+mn-cs"/>
          </a:endParaRPr>
        </a:p>
        <a:p>
          <a:endParaRPr lang="ja-JP" altLang="ja-JP" sz="1050">
            <a:effectLst/>
          </a:endParaRPr>
        </a:p>
        <a:p>
          <a:r>
            <a:rPr lang="ja-JP" altLang="ja-JP" sz="1050">
              <a:effectLst/>
              <a:latin typeface="+mn-lt"/>
              <a:ea typeface="+mn-ea"/>
              <a:cs typeface="+mn-cs"/>
            </a:rPr>
            <a:t> </a:t>
          </a:r>
          <a:r>
            <a:rPr lang="en-US" altLang="ja-JP" sz="1050">
              <a:effectLst/>
              <a:latin typeface="+mn-lt"/>
              <a:ea typeface="+mn-ea"/>
              <a:cs typeface="+mn-cs"/>
            </a:rPr>
            <a:t> </a:t>
          </a:r>
          <a:r>
            <a:rPr lang="ja-JP" altLang="ja-JP" sz="1050" b="0" i="0">
              <a:effectLst/>
              <a:latin typeface="+mn-lt"/>
              <a:ea typeface="+mn-ea"/>
              <a:cs typeface="+mn-cs"/>
            </a:rPr>
            <a:t>・</a:t>
          </a:r>
          <a:r>
            <a:rPr lang="ja-JP" altLang="ja-JP" sz="1050">
              <a:effectLst/>
              <a:latin typeface="+mn-lt"/>
              <a:ea typeface="+mn-ea"/>
              <a:cs typeface="+mn-cs"/>
            </a:rPr>
            <a:t> </a:t>
          </a:r>
          <a:r>
            <a:rPr lang="ja-JP" altLang="ja-JP" sz="1050" b="0" i="0">
              <a:effectLst/>
              <a:latin typeface="+mn-lt"/>
              <a:ea typeface="+mn-ea"/>
              <a:cs typeface="+mn-cs"/>
            </a:rPr>
            <a:t>来日後、数か月は精算額がマイナスになるのは、</a:t>
          </a:r>
          <a:br>
            <a:rPr lang="ja-JP" altLang="ja-JP" sz="1050" b="0" i="0">
              <a:effectLst/>
              <a:latin typeface="+mn-lt"/>
              <a:ea typeface="+mn-ea"/>
              <a:cs typeface="+mn-cs"/>
            </a:rPr>
          </a:br>
          <a:r>
            <a:rPr lang="en-US" altLang="ja-JP" sz="1050" b="0" i="0">
              <a:effectLst/>
              <a:latin typeface="+mn-lt"/>
              <a:ea typeface="+mn-ea"/>
              <a:cs typeface="+mn-cs"/>
            </a:rPr>
            <a:t> </a:t>
          </a:r>
          <a:r>
            <a:rPr lang="en-US" altLang="ja-JP" sz="1050" b="0" i="0" baseline="0">
              <a:effectLst/>
              <a:latin typeface="+mn-lt"/>
              <a:ea typeface="+mn-ea"/>
              <a:cs typeface="+mn-cs"/>
            </a:rPr>
            <a:t>  </a:t>
          </a:r>
          <a:r>
            <a:rPr lang="ja-JP" altLang="ja-JP" sz="1050" b="0" i="0">
              <a:effectLst/>
              <a:latin typeface="+mn-lt"/>
              <a:ea typeface="+mn-ea"/>
              <a:cs typeface="+mn-cs"/>
            </a:rPr>
            <a:t>一般研修期間中は</a:t>
          </a:r>
          <a:r>
            <a:rPr lang="en-US" altLang="ja-JP" sz="1050" b="0" i="0">
              <a:effectLst/>
              <a:latin typeface="+mn-lt"/>
              <a:ea typeface="+mn-ea"/>
              <a:cs typeface="+mn-cs"/>
            </a:rPr>
            <a:t>AOTS</a:t>
          </a:r>
          <a:r>
            <a:rPr lang="ja-JP" altLang="ja-JP" sz="1050" b="0" i="0">
              <a:effectLst/>
              <a:latin typeface="+mn-lt"/>
              <a:ea typeface="+mn-ea"/>
              <a:cs typeface="+mn-cs"/>
            </a:rPr>
            <a:t>が直接執行した金額が大きいため（</a:t>
          </a:r>
          <a:r>
            <a:rPr lang="en-US" altLang="ja-JP" sz="1050" b="0" i="0">
              <a:effectLst/>
              <a:latin typeface="+mn-lt"/>
              <a:ea typeface="+mn-ea"/>
              <a:cs typeface="+mn-cs"/>
            </a:rPr>
            <a:t>=</a:t>
          </a:r>
          <a:r>
            <a:rPr lang="ja-JP" altLang="ja-JP" sz="1050" b="0" i="0">
              <a:effectLst/>
              <a:latin typeface="+mn-lt"/>
              <a:ea typeface="+mn-ea"/>
              <a:cs typeface="+mn-cs"/>
            </a:rPr>
            <a:t>受入企業へ支払われる補助金が</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少なく、</a:t>
          </a:r>
          <a:r>
            <a:rPr lang="en-US" altLang="ja-JP" sz="1050" b="0" i="0">
              <a:effectLst/>
              <a:latin typeface="+mn-lt"/>
              <a:ea typeface="+mn-ea"/>
              <a:cs typeface="+mn-cs"/>
            </a:rPr>
            <a:t>AOTS</a:t>
          </a:r>
          <a:r>
            <a:rPr lang="ja-JP" altLang="ja-JP" sz="1050" b="0" i="0">
              <a:effectLst/>
              <a:latin typeface="+mn-lt"/>
              <a:ea typeface="+mn-ea"/>
              <a:cs typeface="+mn-cs"/>
            </a:rPr>
            <a:t>へ支払われる補助金がおおきいため）、また、研修実施分担金を１か月目にお支払</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い頂くためです。</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a:effectLst/>
              <a:latin typeface="+mn-lt"/>
              <a:ea typeface="+mn-ea"/>
              <a:cs typeface="+mn-cs"/>
            </a:rPr>
            <a:t> </a:t>
          </a:r>
          <a:r>
            <a:rPr lang="ja-JP" altLang="ja-JP" sz="1050" b="0" i="0">
              <a:effectLst/>
              <a:latin typeface="+mn-lt"/>
              <a:ea typeface="+mn-ea"/>
              <a:cs typeface="+mn-cs"/>
            </a:rPr>
            <a:t>補助率</a:t>
          </a:r>
          <a:r>
            <a:rPr lang="en-US" altLang="ja-JP" sz="1050" b="0" i="0">
              <a:effectLst/>
              <a:latin typeface="+mn-lt"/>
              <a:ea typeface="+mn-ea"/>
              <a:cs typeface="+mn-cs"/>
            </a:rPr>
            <a:t>2/3</a:t>
          </a:r>
          <a:r>
            <a:rPr lang="ja-JP" altLang="ja-JP" sz="1050" b="0" i="0">
              <a:effectLst/>
              <a:latin typeface="+mn-lt"/>
              <a:ea typeface="+mn-ea"/>
              <a:cs typeface="+mn-cs"/>
            </a:rPr>
            <a:t>の企業の場合、実地研修が始まり、企業立替額が増えていくと（＝企業が直接受け</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取る補助金額が増える）、精算額がプラスに転じていきます。</a:t>
          </a:r>
          <a:r>
            <a:rPr lang="ja-JP" altLang="ja-JP" sz="1050">
              <a:effectLst/>
              <a:latin typeface="+mn-lt"/>
              <a:ea typeface="+mn-ea"/>
              <a:cs typeface="+mn-cs"/>
            </a:rPr>
            <a:t> </a:t>
          </a:r>
          <a:endParaRPr lang="en-US" altLang="ja-JP" sz="1050">
            <a:effectLst/>
            <a:latin typeface="+mn-lt"/>
            <a:ea typeface="+mn-ea"/>
            <a:cs typeface="+mn-cs"/>
          </a:endParaRPr>
        </a:p>
        <a:p>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a:t>
          </a:r>
          <a:r>
            <a:rPr lang="en-US" altLang="ja-JP" sz="1050" b="0" i="0">
              <a:effectLst/>
              <a:latin typeface="+mn-lt"/>
              <a:ea typeface="+mn-ea"/>
              <a:cs typeface="+mn-cs"/>
            </a:rPr>
            <a:t> </a:t>
          </a:r>
          <a:r>
            <a:rPr lang="ja-JP" altLang="ja-JP" sz="1050" b="0" i="0">
              <a:effectLst/>
              <a:latin typeface="+mn-lt"/>
              <a:ea typeface="+mn-ea"/>
              <a:cs typeface="+mn-cs"/>
            </a:rPr>
            <a:t>実地研修期間が短い場合や、補助率が低い企業の場合、最終精算月までマイナスの場合も</a:t>
          </a:r>
          <a:endParaRPr lang="en-US" altLang="ja-JP" sz="1050" b="0" i="0">
            <a:effectLst/>
            <a:latin typeface="+mn-lt"/>
            <a:ea typeface="+mn-ea"/>
            <a:cs typeface="+mn-cs"/>
          </a:endParaRPr>
        </a:p>
        <a:p>
          <a:r>
            <a:rPr lang="en-US" altLang="ja-JP" sz="1050" b="0" i="0">
              <a:effectLst/>
              <a:latin typeface="+mn-lt"/>
              <a:ea typeface="+mn-ea"/>
              <a:cs typeface="+mn-cs"/>
            </a:rPr>
            <a:t>    </a:t>
          </a:r>
          <a:r>
            <a:rPr lang="ja-JP" altLang="ja-JP" sz="1050" b="0" i="0">
              <a:effectLst/>
              <a:latin typeface="+mn-lt"/>
              <a:ea typeface="+mn-ea"/>
              <a:cs typeface="+mn-cs"/>
            </a:rPr>
            <a:t>あります。</a:t>
          </a:r>
          <a:r>
            <a:rPr lang="ja-JP" altLang="ja-JP" sz="1050">
              <a:effectLst/>
              <a:latin typeface="+mn-lt"/>
              <a:ea typeface="+mn-ea"/>
              <a:cs typeface="+mn-cs"/>
            </a:rPr>
            <a:t> </a:t>
          </a:r>
          <a:endParaRPr lang="ja-JP" altLang="ja-JP" sz="1050">
            <a:effectLst/>
          </a:endParaRPr>
        </a:p>
        <a:p>
          <a:pPr algn="l"/>
          <a:endParaRPr kumimoji="1" lang="ja-JP" altLang="en-US" sz="1050"/>
        </a:p>
      </xdr:txBody>
    </xdr:sp>
    <xdr:clientData/>
  </xdr:twoCellAnchor>
  <xdr:twoCellAnchor editAs="oneCell">
    <xdr:from>
      <xdr:col>0</xdr:col>
      <xdr:colOff>2</xdr:colOff>
      <xdr:row>179</xdr:row>
      <xdr:rowOff>85725</xdr:rowOff>
    </xdr:from>
    <xdr:to>
      <xdr:col>9</xdr:col>
      <xdr:colOff>182245</xdr:colOff>
      <xdr:row>212</xdr:row>
      <xdr:rowOff>92075</xdr:rowOff>
    </xdr:to>
    <xdr:pic>
      <xdr:nvPicPr>
        <xdr:cNvPr id="72" name="図 71">
          <a:extLst>
            <a:ext uri="{FF2B5EF4-FFF2-40B4-BE49-F238E27FC236}">
              <a16:creationId xmlns:a16="http://schemas.microsoft.com/office/drawing/2014/main" id="{00000000-0008-0000-0300-000048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55798"/>
        <a:stretch/>
      </xdr:blipFill>
      <xdr:spPr bwMode="auto">
        <a:xfrm>
          <a:off x="2" y="29070300"/>
          <a:ext cx="3011168" cy="5349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133351</xdr:colOff>
      <xdr:row>179</xdr:row>
      <xdr:rowOff>111125</xdr:rowOff>
    </xdr:from>
    <xdr:to>
      <xdr:col>17</xdr:col>
      <xdr:colOff>273284</xdr:colOff>
      <xdr:row>212</xdr:row>
      <xdr:rowOff>111125</xdr:rowOff>
    </xdr:to>
    <xdr:pic>
      <xdr:nvPicPr>
        <xdr:cNvPr id="75" name="図 74">
          <a:extLst>
            <a:ext uri="{FF2B5EF4-FFF2-40B4-BE49-F238E27FC236}">
              <a16:creationId xmlns:a16="http://schemas.microsoft.com/office/drawing/2014/main" id="{00000000-0008-0000-0300-00004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848226" y="29095700"/>
          <a:ext cx="768583" cy="534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301626</xdr:colOff>
      <xdr:row>179</xdr:row>
      <xdr:rowOff>92076</xdr:rowOff>
    </xdr:from>
    <xdr:to>
      <xdr:col>14</xdr:col>
      <xdr:colOff>301952</xdr:colOff>
      <xdr:row>212</xdr:row>
      <xdr:rowOff>104776</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3044826" y="30581041"/>
          <a:ext cx="1524326" cy="5633570"/>
          <a:chOff x="3130551" y="30791151"/>
          <a:chExt cx="1571951" cy="5353050"/>
        </a:xfrm>
      </xdr:grpSpPr>
      <xdr:pic>
        <xdr:nvPicPr>
          <xdr:cNvPr id="74" name="図 73">
            <a:extLst>
              <a:ext uri="{FF2B5EF4-FFF2-40B4-BE49-F238E27FC236}">
                <a16:creationId xmlns:a16="http://schemas.microsoft.com/office/drawing/2014/main" id="{00000000-0008-0000-0300-00004A00000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76881"/>
          <a:stretch/>
        </xdr:blipFill>
        <xdr:spPr bwMode="auto">
          <a:xfrm>
            <a:off x="3130551" y="30791151"/>
            <a:ext cx="1571951" cy="5353050"/>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77" name="直線コネクタ 76">
            <a:extLst>
              <a:ext uri="{FF2B5EF4-FFF2-40B4-BE49-F238E27FC236}">
                <a16:creationId xmlns:a16="http://schemas.microsoft.com/office/drawing/2014/main" id="{00000000-0008-0000-0300-00004D000000}"/>
              </a:ext>
            </a:extLst>
          </xdr:cNvPr>
          <xdr:cNvCxnSpPr/>
        </xdr:nvCxnSpPr>
        <xdr:spPr bwMode="auto">
          <a:xfrm>
            <a:off x="4686300" y="30905450"/>
            <a:ext cx="6350" cy="5229225"/>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xdr:col>
      <xdr:colOff>73025</xdr:colOff>
      <xdr:row>24</xdr:row>
      <xdr:rowOff>63500</xdr:rowOff>
    </xdr:from>
    <xdr:to>
      <xdr:col>17</xdr:col>
      <xdr:colOff>156882</xdr:colOff>
      <xdr:row>35</xdr:row>
      <xdr:rowOff>0</xdr:rowOff>
    </xdr:to>
    <xdr:sp macro="" textlink="">
      <xdr:nvSpPr>
        <xdr:cNvPr id="79" name="正方形/長方形 78">
          <a:extLst>
            <a:ext uri="{FF2B5EF4-FFF2-40B4-BE49-F238E27FC236}">
              <a16:creationId xmlns:a16="http://schemas.microsoft.com/office/drawing/2014/main" id="{00000000-0008-0000-0300-00004F000000}"/>
            </a:ext>
          </a:extLst>
        </xdr:cNvPr>
        <xdr:cNvSpPr/>
      </xdr:nvSpPr>
      <xdr:spPr bwMode="auto">
        <a:xfrm>
          <a:off x="1462554" y="4097618"/>
          <a:ext cx="4599828" cy="1785470"/>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en-US" altLang="ja-JP" sz="1050">
              <a:effectLst/>
              <a:latin typeface="+mn-lt"/>
              <a:ea typeface="+mn-ea"/>
              <a:cs typeface="+mn-cs"/>
            </a:rPr>
            <a:t>【</a:t>
          </a:r>
          <a:r>
            <a:rPr kumimoji="1" lang="ja-JP" altLang="ja-JP" sz="1050">
              <a:effectLst/>
              <a:latin typeface="+mn-lt"/>
              <a:ea typeface="+mn-ea"/>
              <a:cs typeface="+mn-cs"/>
            </a:rPr>
            <a:t>受入費</a:t>
          </a:r>
          <a:r>
            <a:rPr kumimoji="1" lang="en-US" altLang="ja-JP" sz="1050">
              <a:effectLst/>
              <a:latin typeface="+mn-lt"/>
              <a:ea typeface="+mn-ea"/>
              <a:cs typeface="+mn-cs"/>
            </a:rPr>
            <a:t>】</a:t>
          </a:r>
          <a:endParaRPr lang="ja-JP" altLang="ja-JP" sz="1050">
            <a:effectLst/>
          </a:endParaRPr>
        </a:p>
        <a:p>
          <a:r>
            <a:rPr kumimoji="1" lang="ja-JP" altLang="ja-JP" sz="1050">
              <a:effectLst/>
              <a:latin typeface="+mn-lt"/>
              <a:ea typeface="+mn-ea"/>
              <a:cs typeface="+mn-cs"/>
            </a:rPr>
            <a:t>補助額    ：　補助対象経費</a:t>
          </a:r>
          <a:r>
            <a:rPr kumimoji="1" lang="en-US" altLang="ja-JP" sz="1050">
              <a:effectLst/>
              <a:latin typeface="+mn-lt"/>
              <a:ea typeface="+mn-ea"/>
              <a:cs typeface="+mn-cs"/>
            </a:rPr>
            <a:t>×</a:t>
          </a:r>
          <a:r>
            <a:rPr kumimoji="1" lang="ja-JP" altLang="ja-JP" sz="1050">
              <a:effectLst/>
              <a:latin typeface="+mn-lt"/>
              <a:ea typeface="+mn-ea"/>
              <a:cs typeface="+mn-cs"/>
            </a:rPr>
            <a:t>補助率</a:t>
          </a:r>
          <a:endParaRPr lang="ja-JP" altLang="ja-JP" sz="1050">
            <a:effectLst/>
          </a:endParaRPr>
        </a:p>
        <a:p>
          <a:r>
            <a:rPr kumimoji="1" lang="ja-JP" altLang="ja-JP" sz="1050">
              <a:effectLst/>
              <a:latin typeface="+mn-lt"/>
              <a:ea typeface="+mn-ea"/>
              <a:cs typeface="+mn-cs"/>
            </a:rPr>
            <a:t>企業負担：   補助対象経費</a:t>
          </a:r>
          <a:r>
            <a:rPr kumimoji="1" lang="en-US" altLang="ja-JP" sz="1050">
              <a:effectLst/>
              <a:latin typeface="+mn-lt"/>
              <a:ea typeface="+mn-ea"/>
              <a:cs typeface="+mn-cs"/>
            </a:rPr>
            <a:t>×(1-</a:t>
          </a:r>
          <a:r>
            <a:rPr kumimoji="1" lang="ja-JP" altLang="ja-JP" sz="1050">
              <a:effectLst/>
              <a:latin typeface="+mn-lt"/>
              <a:ea typeface="+mn-ea"/>
              <a:cs typeface="+mn-cs"/>
            </a:rPr>
            <a:t>補助率</a:t>
          </a:r>
          <a:r>
            <a:rPr kumimoji="1" lang="en-US" altLang="ja-JP" sz="1050">
              <a:effectLst/>
              <a:latin typeface="+mn-lt"/>
              <a:ea typeface="+mn-ea"/>
              <a:cs typeface="+mn-cs"/>
            </a:rPr>
            <a:t>)</a:t>
          </a:r>
        </a:p>
        <a:p>
          <a:endParaRPr lang="ja-JP" altLang="ja-JP" sz="1050">
            <a:effectLst/>
          </a:endParaRPr>
        </a:p>
        <a:p>
          <a:r>
            <a:rPr kumimoji="1" lang="en-US" altLang="ja-JP" sz="1050">
              <a:effectLst/>
              <a:latin typeface="+mn-lt"/>
              <a:ea typeface="+mn-ea"/>
              <a:cs typeface="+mn-cs"/>
            </a:rPr>
            <a:t>〈 </a:t>
          </a:r>
          <a:r>
            <a:rPr kumimoji="1" lang="ja-JP" altLang="ja-JP" sz="1050">
              <a:effectLst/>
              <a:latin typeface="+mn-lt"/>
              <a:ea typeface="+mn-ea"/>
              <a:cs typeface="+mn-cs"/>
            </a:rPr>
            <a:t>注</a:t>
          </a:r>
          <a:r>
            <a:rPr kumimoji="1" lang="en-US" altLang="ja-JP" sz="1050">
              <a:effectLst/>
              <a:latin typeface="+mn-lt"/>
              <a:ea typeface="+mn-ea"/>
              <a:cs typeface="+mn-cs"/>
            </a:rPr>
            <a:t> 〉</a:t>
          </a:r>
          <a:endParaRPr lang="ja-JP" altLang="ja-JP" sz="1050">
            <a:effectLst/>
          </a:endParaRPr>
        </a:p>
        <a:p>
          <a:r>
            <a:rPr kumimoji="1" lang="ja-JP" altLang="ja-JP" sz="1050">
              <a:effectLst/>
              <a:latin typeface="+mn-lt"/>
              <a:ea typeface="+mn-ea"/>
              <a:cs typeface="+mn-cs"/>
            </a:rPr>
            <a:t>企業が負担した経費に対する補助金は企業に支払われますが、</a:t>
          </a:r>
          <a:r>
            <a:rPr kumimoji="1" lang="en-US" altLang="ja-JP" sz="1050">
              <a:effectLst/>
              <a:latin typeface="+mn-lt"/>
              <a:ea typeface="+mn-ea"/>
              <a:cs typeface="+mn-cs"/>
            </a:rPr>
            <a:t>AOTS</a:t>
          </a:r>
          <a:r>
            <a:rPr kumimoji="1" lang="ja-JP" altLang="ja-JP" sz="1050">
              <a:effectLst/>
              <a:latin typeface="+mn-lt"/>
              <a:ea typeface="+mn-ea"/>
              <a:cs typeface="+mn-cs"/>
            </a:rPr>
            <a:t>が負担した経費に対する補助金は直接</a:t>
          </a:r>
          <a:r>
            <a:rPr kumimoji="1" lang="en-US" altLang="ja-JP" sz="1050">
              <a:effectLst/>
              <a:latin typeface="+mn-lt"/>
              <a:ea typeface="+mn-ea"/>
              <a:cs typeface="+mn-cs"/>
            </a:rPr>
            <a:t>AOTS</a:t>
          </a:r>
          <a:r>
            <a:rPr kumimoji="1" lang="ja-JP" altLang="ja-JP" sz="1050">
              <a:effectLst/>
              <a:latin typeface="+mn-lt"/>
              <a:ea typeface="+mn-ea"/>
              <a:cs typeface="+mn-cs"/>
            </a:rPr>
            <a:t>へ支払われます。</a:t>
          </a:r>
          <a:endParaRPr kumimoji="1" lang="en-US" altLang="ja-JP" sz="1050">
            <a:effectLst/>
            <a:latin typeface="+mn-lt"/>
            <a:ea typeface="+mn-ea"/>
            <a:cs typeface="+mn-cs"/>
          </a:endParaRPr>
        </a:p>
        <a:p>
          <a:r>
            <a:rPr kumimoji="1" lang="ja-JP" altLang="en-US" sz="1050">
              <a:effectLst/>
              <a:latin typeface="+mn-lt"/>
              <a:ea typeface="+mn-ea"/>
              <a:cs typeface="+mn-cs"/>
            </a:rPr>
            <a:t>（例えば、</a:t>
          </a:r>
          <a:r>
            <a:rPr kumimoji="1" lang="en-US" altLang="ja-JP" sz="1050">
              <a:effectLst/>
              <a:latin typeface="+mn-lt"/>
              <a:ea typeface="+mn-ea"/>
              <a:cs typeface="+mn-cs"/>
            </a:rPr>
            <a:t>AOTS</a:t>
          </a:r>
          <a:r>
            <a:rPr kumimoji="1" lang="ja-JP" altLang="en-US" sz="1050">
              <a:effectLst/>
              <a:latin typeface="+mn-lt"/>
              <a:ea typeface="+mn-ea"/>
              <a:cs typeface="+mn-cs"/>
            </a:rPr>
            <a:t>研修センターの宿泊代ですが、企業が補助金を受け取ってから</a:t>
          </a:r>
          <a:r>
            <a:rPr kumimoji="1" lang="en-US" altLang="ja-JP" sz="1050">
              <a:effectLst/>
              <a:latin typeface="+mn-lt"/>
              <a:ea typeface="+mn-ea"/>
              <a:cs typeface="+mn-cs"/>
            </a:rPr>
            <a:t>AOTS</a:t>
          </a:r>
          <a:r>
            <a:rPr kumimoji="1" lang="ja-JP" altLang="en-US" sz="1050">
              <a:effectLst/>
              <a:latin typeface="+mn-lt"/>
              <a:ea typeface="+mn-ea"/>
              <a:cs typeface="+mn-cs"/>
            </a:rPr>
            <a:t>へ支払うのではなく、</a:t>
          </a:r>
          <a:r>
            <a:rPr kumimoji="1" lang="en-US" altLang="ja-JP" sz="1050">
              <a:effectLst/>
              <a:latin typeface="+mn-lt"/>
              <a:ea typeface="+mn-ea"/>
              <a:cs typeface="+mn-cs"/>
            </a:rPr>
            <a:t>AOTS</a:t>
          </a:r>
          <a:r>
            <a:rPr kumimoji="1" lang="ja-JP" altLang="en-US" sz="1050">
              <a:effectLst/>
              <a:latin typeface="+mn-lt"/>
              <a:ea typeface="+mn-ea"/>
              <a:cs typeface="+mn-cs"/>
            </a:rPr>
            <a:t>が直接補助金を経産省から受け取ります）</a:t>
          </a:r>
          <a:endParaRPr kumimoji="1" lang="ja-JP" altLang="en-US" sz="1050"/>
        </a:p>
      </xdr:txBody>
    </xdr:sp>
    <xdr:clientData/>
  </xdr:twoCellAnchor>
  <xdr:twoCellAnchor>
    <xdr:from>
      <xdr:col>1</xdr:col>
      <xdr:colOff>107949</xdr:colOff>
      <xdr:row>47</xdr:row>
      <xdr:rowOff>41274</xdr:rowOff>
    </xdr:from>
    <xdr:to>
      <xdr:col>17</xdr:col>
      <xdr:colOff>247649</xdr:colOff>
      <xdr:row>55</xdr:row>
      <xdr:rowOff>149225</xdr:rowOff>
    </xdr:to>
    <xdr:sp macro="" textlink="">
      <xdr:nvSpPr>
        <xdr:cNvPr id="80" name="正方形/長方形 79">
          <a:extLst>
            <a:ext uri="{FF2B5EF4-FFF2-40B4-BE49-F238E27FC236}">
              <a16:creationId xmlns:a16="http://schemas.microsoft.com/office/drawing/2014/main" id="{00000000-0008-0000-0300-000050000000}"/>
            </a:ext>
          </a:extLst>
        </xdr:cNvPr>
        <xdr:cNvSpPr/>
      </xdr:nvSpPr>
      <xdr:spPr bwMode="auto">
        <a:xfrm>
          <a:off x="422274" y="7651749"/>
          <a:ext cx="5168900" cy="1403351"/>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en-US" altLang="ja-JP" sz="1050">
              <a:effectLst/>
              <a:latin typeface="+mn-lt"/>
              <a:ea typeface="+mn-ea"/>
              <a:cs typeface="+mn-cs"/>
            </a:rPr>
            <a:t>AOTS</a:t>
          </a:r>
          <a:r>
            <a:rPr kumimoji="1" lang="ja-JP" altLang="ja-JP" sz="1050">
              <a:effectLst/>
              <a:latin typeface="+mn-lt"/>
              <a:ea typeface="+mn-ea"/>
              <a:cs typeface="+mn-cs"/>
            </a:rPr>
            <a:t>が直接費用を支払う（</a:t>
          </a:r>
          <a:r>
            <a:rPr kumimoji="1" lang="en-US" altLang="ja-JP" sz="1050">
              <a:effectLst/>
              <a:latin typeface="+mn-lt"/>
              <a:ea typeface="+mn-ea"/>
              <a:cs typeface="+mn-cs"/>
            </a:rPr>
            <a:t>AOTS</a:t>
          </a:r>
          <a:r>
            <a:rPr kumimoji="1" lang="ja-JP" altLang="ja-JP" sz="1050">
              <a:effectLst/>
              <a:latin typeface="+mn-lt"/>
              <a:ea typeface="+mn-ea"/>
              <a:cs typeface="+mn-cs"/>
            </a:rPr>
            <a:t>の立替）と企業の立替え部分があります。</a:t>
          </a:r>
          <a:endParaRPr kumimoji="1" lang="en-US" altLang="ja-JP" sz="1050">
            <a:effectLst/>
            <a:latin typeface="+mn-lt"/>
            <a:ea typeface="+mn-ea"/>
            <a:cs typeface="+mn-cs"/>
          </a:endParaRPr>
        </a:p>
        <a:p>
          <a:endParaRPr lang="ja-JP" altLang="ja-JP" sz="1050">
            <a:effectLst/>
          </a:endParaRPr>
        </a:p>
        <a:p>
          <a:r>
            <a:rPr kumimoji="1" lang="en-US" altLang="ja-JP" sz="1100">
              <a:effectLst/>
              <a:latin typeface="+mn-lt"/>
              <a:ea typeface="+mn-ea"/>
              <a:cs typeface="+mn-cs"/>
            </a:rPr>
            <a:t>AOTS</a:t>
          </a:r>
          <a:r>
            <a:rPr kumimoji="1" lang="ja-JP" altLang="ja-JP" sz="1100">
              <a:effectLst/>
              <a:latin typeface="+mn-lt"/>
              <a:ea typeface="+mn-ea"/>
              <a:cs typeface="+mn-cs"/>
            </a:rPr>
            <a:t>立替額④のうち、「補助対象額</a:t>
          </a:r>
          <a:r>
            <a:rPr kumimoji="1" lang="en-US" altLang="ja-JP" sz="1100">
              <a:effectLst/>
              <a:latin typeface="+mn-lt"/>
              <a:ea typeface="+mn-ea"/>
              <a:cs typeface="+mn-cs"/>
            </a:rPr>
            <a:t>×</a:t>
          </a:r>
          <a:r>
            <a:rPr kumimoji="1" lang="ja-JP" altLang="ja-JP" sz="1100">
              <a:effectLst/>
              <a:latin typeface="+mn-lt"/>
              <a:ea typeface="+mn-ea"/>
              <a:cs typeface="+mn-cs"/>
            </a:rPr>
            <a:t>補助率補助率」部分は</a:t>
          </a:r>
          <a:r>
            <a:rPr kumimoji="1" lang="en-US" altLang="ja-JP" sz="1100">
              <a:effectLst/>
              <a:latin typeface="+mn-lt"/>
              <a:ea typeface="+mn-ea"/>
              <a:cs typeface="+mn-cs"/>
            </a:rPr>
            <a:t>AOTS</a:t>
          </a:r>
          <a:r>
            <a:rPr kumimoji="1" lang="ja-JP" altLang="ja-JP" sz="1100">
              <a:effectLst/>
              <a:latin typeface="+mn-lt"/>
              <a:ea typeface="+mn-ea"/>
              <a:cs typeface="+mn-cs"/>
            </a:rPr>
            <a:t>が補助金を直接、受け取り、残り（「</a:t>
          </a:r>
          <a:r>
            <a:rPr kumimoji="1" lang="en-US" altLang="ja-JP" sz="1100">
              <a:effectLst/>
              <a:latin typeface="+mn-lt"/>
              <a:ea typeface="+mn-ea"/>
              <a:cs typeface="+mn-cs"/>
            </a:rPr>
            <a:t>1-</a:t>
          </a:r>
          <a:r>
            <a:rPr kumimoji="1" lang="ja-JP" altLang="ja-JP" sz="1100">
              <a:effectLst/>
              <a:latin typeface="+mn-lt"/>
              <a:ea typeface="+mn-ea"/>
              <a:cs typeface="+mn-cs"/>
            </a:rPr>
            <a:t>補助率」）は企業に負担頂きます。　（＝受入分担金）</a:t>
          </a:r>
          <a:endParaRPr lang="ja-JP" altLang="ja-JP" sz="1050">
            <a:effectLst/>
          </a:endParaRPr>
        </a:p>
        <a:p>
          <a:endParaRPr kumimoji="1" lang="en-US" altLang="ja-JP" sz="1100">
            <a:effectLst/>
            <a:latin typeface="+mn-lt"/>
            <a:ea typeface="+mn-ea"/>
            <a:cs typeface="+mn-cs"/>
          </a:endParaRPr>
        </a:p>
        <a:p>
          <a:r>
            <a:rPr kumimoji="1" lang="ja-JP" altLang="ja-JP" sz="1100">
              <a:effectLst/>
              <a:latin typeface="+mn-lt"/>
              <a:ea typeface="+mn-ea"/>
              <a:cs typeface="+mn-cs"/>
            </a:rPr>
            <a:t>企業立替</a:t>
          </a:r>
          <a:r>
            <a:rPr kumimoji="1" lang="en-US" altLang="ja-JP" sz="1100">
              <a:effectLst/>
              <a:latin typeface="+mn-lt"/>
              <a:ea typeface="+mn-ea"/>
              <a:cs typeface="+mn-cs"/>
            </a:rPr>
            <a:t>A</a:t>
          </a:r>
          <a:r>
            <a:rPr kumimoji="1" lang="ja-JP" altLang="ja-JP" sz="1100">
              <a:effectLst/>
              <a:latin typeface="+mn-lt"/>
              <a:ea typeface="+mn-ea"/>
              <a:cs typeface="+mn-cs"/>
            </a:rPr>
            <a:t>のうち、「補助対象額</a:t>
          </a:r>
          <a:r>
            <a:rPr kumimoji="1" lang="en-US" altLang="ja-JP" sz="1100">
              <a:effectLst/>
              <a:latin typeface="+mn-lt"/>
              <a:ea typeface="+mn-ea"/>
              <a:cs typeface="+mn-cs"/>
            </a:rPr>
            <a:t>×</a:t>
          </a:r>
          <a:r>
            <a:rPr kumimoji="1" lang="ja-JP" altLang="ja-JP" sz="1100">
              <a:effectLst/>
              <a:latin typeface="+mn-lt"/>
              <a:ea typeface="+mn-ea"/>
              <a:cs typeface="+mn-cs"/>
            </a:rPr>
            <a:t>補助率補助率」部分は企業が補助金を受け取り、残り（「</a:t>
          </a:r>
          <a:r>
            <a:rPr kumimoji="1" lang="en-US" altLang="ja-JP" sz="1100">
              <a:effectLst/>
              <a:latin typeface="+mn-lt"/>
              <a:ea typeface="+mn-ea"/>
              <a:cs typeface="+mn-cs"/>
            </a:rPr>
            <a:t>1-</a:t>
          </a:r>
          <a:r>
            <a:rPr kumimoji="1" lang="ja-JP" altLang="ja-JP" sz="1100">
              <a:effectLst/>
              <a:latin typeface="+mn-lt"/>
              <a:ea typeface="+mn-ea"/>
              <a:cs typeface="+mn-cs"/>
            </a:rPr>
            <a:t>補助率」）は企業に負担頂きます。　（＝受入分担金）</a:t>
          </a:r>
          <a:endParaRPr lang="ja-JP" altLang="ja-JP" sz="1050">
            <a:effectLst/>
          </a:endParaRPr>
        </a:p>
      </xdr:txBody>
    </xdr:sp>
    <xdr:clientData/>
  </xdr:twoCellAnchor>
  <xdr:twoCellAnchor>
    <xdr:from>
      <xdr:col>1</xdr:col>
      <xdr:colOff>104775</xdr:colOff>
      <xdr:row>59</xdr:row>
      <xdr:rowOff>104775</xdr:rowOff>
    </xdr:from>
    <xdr:to>
      <xdr:col>17</xdr:col>
      <xdr:colOff>254000</xdr:colOff>
      <xdr:row>63</xdr:row>
      <xdr:rowOff>152400</xdr:rowOff>
    </xdr:to>
    <xdr:sp macro="" textlink="">
      <xdr:nvSpPr>
        <xdr:cNvPr id="81" name="正方形/長方形 80">
          <a:extLst>
            <a:ext uri="{FF2B5EF4-FFF2-40B4-BE49-F238E27FC236}">
              <a16:creationId xmlns:a16="http://schemas.microsoft.com/office/drawing/2014/main" id="{00000000-0008-0000-0300-000051000000}"/>
            </a:ext>
          </a:extLst>
        </xdr:cNvPr>
        <xdr:cNvSpPr/>
      </xdr:nvSpPr>
      <xdr:spPr bwMode="auto">
        <a:xfrm>
          <a:off x="419100" y="9658350"/>
          <a:ext cx="5178425" cy="695325"/>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ja-JP" altLang="ja-JP" sz="1100">
              <a:effectLst/>
              <a:latin typeface="+mn-lt"/>
              <a:ea typeface="+mn-ea"/>
              <a:cs typeface="+mn-cs"/>
            </a:rPr>
            <a:t>研修費および研修附帯費についても補助対象経費のうち補助金以外の部分を企業に負担いただきます。（＝研修実施分担金）　参加コースにより分担額は決まっています。</a:t>
          </a:r>
          <a:endParaRPr lang="ja-JP" altLang="ja-JP" sz="1050">
            <a:effectLst/>
          </a:endParaRPr>
        </a:p>
      </xdr:txBody>
    </xdr:sp>
    <xdr:clientData/>
  </xdr:twoCellAnchor>
  <xdr:twoCellAnchor>
    <xdr:from>
      <xdr:col>6</xdr:col>
      <xdr:colOff>9525</xdr:colOff>
      <xdr:row>63</xdr:row>
      <xdr:rowOff>66675</xdr:rowOff>
    </xdr:from>
    <xdr:to>
      <xdr:col>6</xdr:col>
      <xdr:colOff>333375</xdr:colOff>
      <xdr:row>67</xdr:row>
      <xdr:rowOff>161925</xdr:rowOff>
    </xdr:to>
    <xdr:cxnSp macro="">
      <xdr:nvCxnSpPr>
        <xdr:cNvPr id="23" name="直線矢印コネクタ 22">
          <a:extLst>
            <a:ext uri="{FF2B5EF4-FFF2-40B4-BE49-F238E27FC236}">
              <a16:creationId xmlns:a16="http://schemas.microsoft.com/office/drawing/2014/main" id="{00000000-0008-0000-0300-000017000000}"/>
            </a:ext>
          </a:extLst>
        </xdr:cNvPr>
        <xdr:cNvCxnSpPr/>
      </xdr:nvCxnSpPr>
      <xdr:spPr bwMode="auto">
        <a:xfrm flipH="1">
          <a:off x="2066925" y="10868025"/>
          <a:ext cx="323850" cy="78105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120650</xdr:colOff>
      <xdr:row>72</xdr:row>
      <xdr:rowOff>6350</xdr:rowOff>
    </xdr:from>
    <xdr:to>
      <xdr:col>17</xdr:col>
      <xdr:colOff>257175</xdr:colOff>
      <xdr:row>73</xdr:row>
      <xdr:rowOff>133350</xdr:rowOff>
    </xdr:to>
    <xdr:sp macro="" textlink="">
      <xdr:nvSpPr>
        <xdr:cNvPr id="82" name="正方形/長方形 81">
          <a:extLst>
            <a:ext uri="{FF2B5EF4-FFF2-40B4-BE49-F238E27FC236}">
              <a16:creationId xmlns:a16="http://schemas.microsoft.com/office/drawing/2014/main" id="{00000000-0008-0000-0300-000052000000}"/>
            </a:ext>
          </a:extLst>
        </xdr:cNvPr>
        <xdr:cNvSpPr/>
      </xdr:nvSpPr>
      <xdr:spPr bwMode="auto">
        <a:xfrm>
          <a:off x="434975" y="11664950"/>
          <a:ext cx="5165725" cy="288925"/>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ja-JP" altLang="ja-JP" sz="1100">
              <a:effectLst/>
              <a:latin typeface="+mn-lt"/>
              <a:ea typeface="+mn-ea"/>
              <a:cs typeface="+mn-cs"/>
            </a:rPr>
            <a:t>１～３の内容を図にしたものです。　</a:t>
          </a:r>
          <a:endParaRPr lang="ja-JP" altLang="ja-JP">
            <a:effectLst/>
          </a:endParaRPr>
        </a:p>
      </xdr:txBody>
    </xdr:sp>
    <xdr:clientData/>
  </xdr:twoCellAnchor>
  <xdr:twoCellAnchor>
    <xdr:from>
      <xdr:col>1</xdr:col>
      <xdr:colOff>47625</xdr:colOff>
      <xdr:row>97</xdr:row>
      <xdr:rowOff>53975</xdr:rowOff>
    </xdr:from>
    <xdr:to>
      <xdr:col>17</xdr:col>
      <xdr:colOff>238125</xdr:colOff>
      <xdr:row>99</xdr:row>
      <xdr:rowOff>38100</xdr:rowOff>
    </xdr:to>
    <xdr:sp macro="" textlink="">
      <xdr:nvSpPr>
        <xdr:cNvPr id="83" name="正方形/長方形 82">
          <a:extLst>
            <a:ext uri="{FF2B5EF4-FFF2-40B4-BE49-F238E27FC236}">
              <a16:creationId xmlns:a16="http://schemas.microsoft.com/office/drawing/2014/main" id="{00000000-0008-0000-0300-000053000000}"/>
            </a:ext>
          </a:extLst>
        </xdr:cNvPr>
        <xdr:cNvSpPr/>
      </xdr:nvSpPr>
      <xdr:spPr bwMode="auto">
        <a:xfrm>
          <a:off x="361950" y="15760700"/>
          <a:ext cx="5219700" cy="307975"/>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ja-JP" altLang="ja-JP" sz="1100">
              <a:effectLst/>
              <a:latin typeface="+mn-lt"/>
              <a:ea typeface="+mn-ea"/>
              <a:cs typeface="+mn-cs"/>
            </a:rPr>
            <a:t>精算の考え方：</a:t>
          </a:r>
          <a:endParaRPr lang="ja-JP" altLang="ja-JP">
            <a:effectLst/>
          </a:endParaRPr>
        </a:p>
      </xdr:txBody>
    </xdr:sp>
    <xdr:clientData/>
  </xdr:twoCellAnchor>
  <xdr:twoCellAnchor>
    <xdr:from>
      <xdr:col>1</xdr:col>
      <xdr:colOff>47624</xdr:colOff>
      <xdr:row>118</xdr:row>
      <xdr:rowOff>95249</xdr:rowOff>
    </xdr:from>
    <xdr:to>
      <xdr:col>17</xdr:col>
      <xdr:colOff>266700</xdr:colOff>
      <xdr:row>123</xdr:row>
      <xdr:rowOff>47625</xdr:rowOff>
    </xdr:to>
    <xdr:sp macro="" textlink="">
      <xdr:nvSpPr>
        <xdr:cNvPr id="84" name="正方形/長方形 83">
          <a:extLst>
            <a:ext uri="{FF2B5EF4-FFF2-40B4-BE49-F238E27FC236}">
              <a16:creationId xmlns:a16="http://schemas.microsoft.com/office/drawing/2014/main" id="{00000000-0008-0000-0300-000054000000}"/>
            </a:ext>
          </a:extLst>
        </xdr:cNvPr>
        <xdr:cNvSpPr/>
      </xdr:nvSpPr>
      <xdr:spPr bwMode="auto">
        <a:xfrm>
          <a:off x="361949" y="19202399"/>
          <a:ext cx="5248276" cy="762001"/>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lang="ja-JP" altLang="ja-JP" sz="1050">
              <a:effectLst/>
              <a:latin typeface="+mn-lt"/>
              <a:ea typeface="+mn-ea"/>
              <a:cs typeface="+mn-cs"/>
            </a:rPr>
            <a:t>精算額は、企業立替額</a:t>
          </a:r>
          <a:r>
            <a:rPr lang="en-US" altLang="ja-JP" sz="1050">
              <a:effectLst/>
              <a:latin typeface="+mn-lt"/>
              <a:ea typeface="+mn-ea"/>
              <a:cs typeface="+mn-cs"/>
            </a:rPr>
            <a:t>(A)</a:t>
          </a:r>
          <a:r>
            <a:rPr lang="ja-JP" altLang="ja-JP" sz="1050">
              <a:effectLst/>
              <a:latin typeface="+mn-lt"/>
              <a:ea typeface="+mn-ea"/>
              <a:cs typeface="+mn-cs"/>
            </a:rPr>
            <a:t>と</a:t>
          </a:r>
          <a:r>
            <a:rPr lang="en-US" altLang="ja-JP" sz="1050">
              <a:effectLst/>
              <a:latin typeface="+mn-lt"/>
              <a:ea typeface="+mn-ea"/>
              <a:cs typeface="+mn-cs"/>
            </a:rPr>
            <a:t>  </a:t>
          </a:r>
          <a:r>
            <a:rPr lang="ja-JP" altLang="ja-JP" sz="1050">
              <a:effectLst/>
              <a:latin typeface="+mn-lt"/>
              <a:ea typeface="+mn-ea"/>
              <a:cs typeface="+mn-cs"/>
            </a:rPr>
            <a:t>「</a:t>
          </a:r>
          <a:r>
            <a:rPr lang="en-US" altLang="ja-JP" sz="1050">
              <a:effectLst/>
              <a:latin typeface="+mn-lt"/>
              <a:ea typeface="+mn-ea"/>
              <a:cs typeface="+mn-cs"/>
            </a:rPr>
            <a:t> </a:t>
          </a:r>
          <a:r>
            <a:rPr lang="ja-JP" altLang="ja-JP" sz="1050">
              <a:effectLst/>
              <a:latin typeface="+mn-lt"/>
              <a:ea typeface="+mn-ea"/>
              <a:cs typeface="+mn-cs"/>
            </a:rPr>
            <a:t>受入分担金</a:t>
          </a:r>
          <a:r>
            <a:rPr lang="en-US" altLang="ja-JP" sz="1050">
              <a:effectLst/>
              <a:latin typeface="+mn-lt"/>
              <a:ea typeface="+mn-ea"/>
              <a:cs typeface="+mn-cs"/>
            </a:rPr>
            <a:t>+ </a:t>
          </a:r>
          <a:r>
            <a:rPr lang="ja-JP" altLang="ja-JP" sz="1050">
              <a:effectLst/>
              <a:latin typeface="+mn-lt"/>
              <a:ea typeface="+mn-ea"/>
              <a:cs typeface="+mn-cs"/>
            </a:rPr>
            <a:t>研修実施分担金」（</a:t>
          </a:r>
          <a:r>
            <a:rPr lang="en-US" altLang="ja-JP" sz="1050">
              <a:effectLst/>
              <a:latin typeface="+mn-lt"/>
              <a:ea typeface="+mn-ea"/>
              <a:cs typeface="+mn-cs"/>
            </a:rPr>
            <a:t>B)</a:t>
          </a:r>
          <a:r>
            <a:rPr lang="ja-JP" altLang="ja-JP" sz="1050">
              <a:effectLst/>
              <a:latin typeface="+mn-lt"/>
              <a:ea typeface="+mn-ea"/>
              <a:cs typeface="+mn-cs"/>
            </a:rPr>
            <a:t>を相殺します。</a:t>
          </a:r>
          <a:endParaRPr lang="ja-JP" altLang="ja-JP" sz="1050">
            <a:effectLst/>
          </a:endParaRPr>
        </a:p>
        <a:p>
          <a:pPr eaLnBrk="1" fontAlgn="auto" latinLnBrk="0" hangingPunct="1"/>
          <a:r>
            <a:rPr kumimoji="1" lang="ja-JP" altLang="ja-JP" sz="1050">
              <a:effectLst/>
              <a:latin typeface="+mn-lt"/>
              <a:ea typeface="+mn-ea"/>
              <a:cs typeface="+mn-cs"/>
            </a:rPr>
            <a:t>企業が相殺することを希望しなかった場合は、</a:t>
          </a:r>
          <a:endParaRPr lang="ja-JP" altLang="ja-JP" sz="1050">
            <a:effectLst/>
          </a:endParaRPr>
        </a:p>
        <a:p>
          <a:pPr eaLnBrk="1" fontAlgn="auto" latinLnBrk="0" hangingPunct="1"/>
          <a:r>
            <a:rPr kumimoji="1" lang="ja-JP" altLang="ja-JP" sz="1050">
              <a:effectLst/>
              <a:latin typeface="+mn-lt"/>
              <a:ea typeface="+mn-ea"/>
              <a:cs typeface="+mn-cs"/>
            </a:rPr>
            <a:t>「</a:t>
          </a:r>
          <a:r>
            <a:rPr kumimoji="1" lang="en-US" altLang="ja-JP" sz="1050">
              <a:effectLst/>
              <a:latin typeface="+mn-lt"/>
              <a:ea typeface="+mn-ea"/>
              <a:cs typeface="+mn-cs"/>
            </a:rPr>
            <a:t>A</a:t>
          </a:r>
          <a:r>
            <a:rPr kumimoji="1" lang="ja-JP" altLang="ja-JP" sz="1050">
              <a:effectLst/>
              <a:latin typeface="+mn-lt"/>
              <a:ea typeface="+mn-ea"/>
              <a:cs typeface="+mn-cs"/>
            </a:rPr>
            <a:t>」を</a:t>
          </a:r>
          <a:r>
            <a:rPr kumimoji="1" lang="en-US" altLang="ja-JP" sz="1050">
              <a:effectLst/>
              <a:latin typeface="+mn-lt"/>
              <a:ea typeface="+mn-ea"/>
              <a:cs typeface="+mn-cs"/>
            </a:rPr>
            <a:t>AOTS</a:t>
          </a:r>
          <a:r>
            <a:rPr kumimoji="1" lang="ja-JP" altLang="ja-JP" sz="1050">
              <a:effectLst/>
              <a:latin typeface="+mn-lt"/>
              <a:ea typeface="+mn-ea"/>
              <a:cs typeface="+mn-cs"/>
            </a:rPr>
            <a:t>から企業に振込み、</a:t>
          </a:r>
          <a:r>
            <a:rPr kumimoji="1" lang="en-US" altLang="ja-JP" sz="1050">
              <a:effectLst/>
              <a:latin typeface="+mn-lt"/>
              <a:ea typeface="+mn-ea"/>
              <a:cs typeface="+mn-cs"/>
            </a:rPr>
            <a:t>B</a:t>
          </a:r>
          <a:r>
            <a:rPr kumimoji="1" lang="ja-JP" altLang="ja-JP" sz="1050">
              <a:effectLst/>
              <a:latin typeface="+mn-lt"/>
              <a:ea typeface="+mn-ea"/>
              <a:cs typeface="+mn-cs"/>
            </a:rPr>
            <a:t>を企業から</a:t>
          </a:r>
          <a:r>
            <a:rPr kumimoji="1" lang="en-US" altLang="ja-JP" sz="1050">
              <a:effectLst/>
              <a:latin typeface="+mn-lt"/>
              <a:ea typeface="+mn-ea"/>
              <a:cs typeface="+mn-cs"/>
            </a:rPr>
            <a:t>AOTS</a:t>
          </a:r>
          <a:r>
            <a:rPr kumimoji="1" lang="ja-JP" altLang="ja-JP" sz="1050">
              <a:effectLst/>
              <a:latin typeface="+mn-lt"/>
              <a:ea typeface="+mn-ea"/>
              <a:cs typeface="+mn-cs"/>
            </a:rPr>
            <a:t>へ振り込んでいただきます。</a:t>
          </a:r>
          <a:endParaRPr lang="ja-JP" altLang="ja-JP" sz="1050">
            <a:effectLst/>
          </a:endParaRPr>
        </a:p>
      </xdr:txBody>
    </xdr:sp>
    <xdr:clientData/>
  </xdr:twoCellAnchor>
  <xdr:twoCellAnchor>
    <xdr:from>
      <xdr:col>1</xdr:col>
      <xdr:colOff>95250</xdr:colOff>
      <xdr:row>139</xdr:row>
      <xdr:rowOff>0</xdr:rowOff>
    </xdr:from>
    <xdr:to>
      <xdr:col>17</xdr:col>
      <xdr:colOff>257175</xdr:colOff>
      <xdr:row>140</xdr:row>
      <xdr:rowOff>142875</xdr:rowOff>
    </xdr:to>
    <xdr:sp macro="" textlink="">
      <xdr:nvSpPr>
        <xdr:cNvPr id="87" name="正方形/長方形 86">
          <a:extLst>
            <a:ext uri="{FF2B5EF4-FFF2-40B4-BE49-F238E27FC236}">
              <a16:creationId xmlns:a16="http://schemas.microsoft.com/office/drawing/2014/main" id="{00000000-0008-0000-0300-000057000000}"/>
            </a:ext>
          </a:extLst>
        </xdr:cNvPr>
        <xdr:cNvSpPr/>
      </xdr:nvSpPr>
      <xdr:spPr bwMode="auto">
        <a:xfrm>
          <a:off x="409575" y="22507575"/>
          <a:ext cx="5191125" cy="304800"/>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lang="ja-JP" altLang="en-US" sz="1050">
              <a:effectLst/>
              <a:latin typeface="+mn-lt"/>
              <a:ea typeface="+mn-ea"/>
              <a:cs typeface="+mn-cs"/>
            </a:rPr>
            <a:t>補足</a:t>
          </a:r>
          <a:endParaRPr lang="ja-JP" altLang="ja-JP" sz="1050">
            <a:effectLst/>
          </a:endParaRPr>
        </a:p>
      </xdr:txBody>
    </xdr:sp>
    <xdr:clientData/>
  </xdr:twoCellAnchor>
  <xdr:twoCellAnchor>
    <xdr:from>
      <xdr:col>0</xdr:col>
      <xdr:colOff>38100</xdr:colOff>
      <xdr:row>177</xdr:row>
      <xdr:rowOff>47625</xdr:rowOff>
    </xdr:from>
    <xdr:to>
      <xdr:col>1</xdr:col>
      <xdr:colOff>44450</xdr:colOff>
      <xdr:row>179</xdr:row>
      <xdr:rowOff>25400</xdr:rowOff>
    </xdr:to>
    <xdr:sp macro="" textlink="">
      <xdr:nvSpPr>
        <xdr:cNvPr id="88" name="正方形/長方形 87">
          <a:extLst>
            <a:ext uri="{FF2B5EF4-FFF2-40B4-BE49-F238E27FC236}">
              <a16:creationId xmlns:a16="http://schemas.microsoft.com/office/drawing/2014/main" id="{00000000-0008-0000-0300-000058000000}"/>
            </a:ext>
          </a:extLst>
        </xdr:cNvPr>
        <xdr:cNvSpPr/>
      </xdr:nvSpPr>
      <xdr:spPr bwMode="auto">
        <a:xfrm>
          <a:off x="38100" y="28708350"/>
          <a:ext cx="320675" cy="301625"/>
        </a:xfrm>
        <a:prstGeom prst="rect">
          <a:avLst/>
        </a:prstGeom>
        <a:solidFill>
          <a:schemeClr val="accent6">
            <a:lumMod val="20000"/>
            <a:lumOff val="80000"/>
          </a:schemeClr>
        </a:solidFill>
        <a:ln w="1905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８</a:t>
          </a:r>
        </a:p>
      </xdr:txBody>
    </xdr:sp>
    <xdr:clientData/>
  </xdr:twoCellAnchor>
  <xdr:twoCellAnchor>
    <xdr:from>
      <xdr:col>1</xdr:col>
      <xdr:colOff>85725</xdr:colOff>
      <xdr:row>177</xdr:row>
      <xdr:rowOff>47625</xdr:rowOff>
    </xdr:from>
    <xdr:to>
      <xdr:col>17</xdr:col>
      <xdr:colOff>247650</xdr:colOff>
      <xdr:row>179</xdr:row>
      <xdr:rowOff>28575</xdr:rowOff>
    </xdr:to>
    <xdr:sp macro="" textlink="">
      <xdr:nvSpPr>
        <xdr:cNvPr id="89" name="正方形/長方形 88">
          <a:extLst>
            <a:ext uri="{FF2B5EF4-FFF2-40B4-BE49-F238E27FC236}">
              <a16:creationId xmlns:a16="http://schemas.microsoft.com/office/drawing/2014/main" id="{00000000-0008-0000-0300-000059000000}"/>
            </a:ext>
          </a:extLst>
        </xdr:cNvPr>
        <xdr:cNvSpPr/>
      </xdr:nvSpPr>
      <xdr:spPr bwMode="auto">
        <a:xfrm>
          <a:off x="400050" y="28708350"/>
          <a:ext cx="5191125" cy="304800"/>
        </a:xfrm>
        <a:prstGeom prst="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lang="ja-JP" altLang="en-US" sz="1050">
              <a:effectLst/>
              <a:latin typeface="+mn-lt"/>
              <a:ea typeface="+mn-ea"/>
              <a:cs typeface="+mn-cs"/>
            </a:rPr>
            <a:t>月別精算</a:t>
          </a:r>
          <a:endParaRPr lang="ja-JP" altLang="ja-JP" sz="1050">
            <a:effectLst/>
          </a:endParaRPr>
        </a:p>
      </xdr:txBody>
    </xdr:sp>
    <xdr:clientData/>
  </xdr:twoCellAnchor>
  <xdr:twoCellAnchor>
    <xdr:from>
      <xdr:col>9</xdr:col>
      <xdr:colOff>28574</xdr:colOff>
      <xdr:row>179</xdr:row>
      <xdr:rowOff>152401</xdr:rowOff>
    </xdr:from>
    <xdr:to>
      <xdr:col>10</xdr:col>
      <xdr:colOff>146049</xdr:colOff>
      <xdr:row>181</xdr:row>
      <xdr:rowOff>158750</xdr:rowOff>
    </xdr:to>
    <xdr:sp macro="" textlink="">
      <xdr:nvSpPr>
        <xdr:cNvPr id="90" name="正方形/長方形 89">
          <a:extLst>
            <a:ext uri="{FF2B5EF4-FFF2-40B4-BE49-F238E27FC236}">
              <a16:creationId xmlns:a16="http://schemas.microsoft.com/office/drawing/2014/main" id="{00000000-0008-0000-0300-00005A000000}"/>
            </a:ext>
          </a:extLst>
        </xdr:cNvPr>
        <xdr:cNvSpPr/>
      </xdr:nvSpPr>
      <xdr:spPr bwMode="auto">
        <a:xfrm>
          <a:off x="2857499" y="29136976"/>
          <a:ext cx="431800" cy="330199"/>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a:t>
          </a:r>
        </a:p>
      </xdr:txBody>
    </xdr:sp>
    <xdr:clientData/>
  </xdr:twoCellAnchor>
  <xdr:twoCellAnchor>
    <xdr:from>
      <xdr:col>14</xdr:col>
      <xdr:colOff>152399</xdr:colOff>
      <xdr:row>179</xdr:row>
      <xdr:rowOff>142876</xdr:rowOff>
    </xdr:from>
    <xdr:to>
      <xdr:col>15</xdr:col>
      <xdr:colOff>269874</xdr:colOff>
      <xdr:row>182</xdr:row>
      <xdr:rowOff>9525</xdr:rowOff>
    </xdr:to>
    <xdr:sp macro="" textlink="">
      <xdr:nvSpPr>
        <xdr:cNvPr id="91" name="正方形/長方形 90">
          <a:extLst>
            <a:ext uri="{FF2B5EF4-FFF2-40B4-BE49-F238E27FC236}">
              <a16:creationId xmlns:a16="http://schemas.microsoft.com/office/drawing/2014/main" id="{00000000-0008-0000-0300-00005B000000}"/>
            </a:ext>
          </a:extLst>
        </xdr:cNvPr>
        <xdr:cNvSpPr/>
      </xdr:nvSpPr>
      <xdr:spPr bwMode="auto">
        <a:xfrm>
          <a:off x="4552949" y="29127451"/>
          <a:ext cx="431800" cy="352424"/>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a:t>
          </a:r>
        </a:p>
      </xdr:txBody>
    </xdr:sp>
    <xdr:clientData/>
  </xdr:twoCellAnchor>
  <xdr:twoCellAnchor>
    <xdr:from>
      <xdr:col>0</xdr:col>
      <xdr:colOff>219075</xdr:colOff>
      <xdr:row>213</xdr:row>
      <xdr:rowOff>95250</xdr:rowOff>
    </xdr:from>
    <xdr:to>
      <xdr:col>4</xdr:col>
      <xdr:colOff>133350</xdr:colOff>
      <xdr:row>216</xdr:row>
      <xdr:rowOff>149225</xdr:rowOff>
    </xdr:to>
    <xdr:sp macro="" textlink="">
      <xdr:nvSpPr>
        <xdr:cNvPr id="92" name="吹き出し: 角を丸めた四角形 91">
          <a:extLst>
            <a:ext uri="{FF2B5EF4-FFF2-40B4-BE49-F238E27FC236}">
              <a16:creationId xmlns:a16="http://schemas.microsoft.com/office/drawing/2014/main" id="{00000000-0008-0000-0300-00005C000000}"/>
            </a:ext>
          </a:extLst>
        </xdr:cNvPr>
        <xdr:cNvSpPr/>
      </xdr:nvSpPr>
      <xdr:spPr bwMode="auto">
        <a:xfrm>
          <a:off x="219075" y="34585275"/>
          <a:ext cx="1171575" cy="539750"/>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研修実施分担金は１ヶ月目にご請求します。</a:t>
          </a:r>
        </a:p>
      </xdr:txBody>
    </xdr:sp>
    <xdr:clientData/>
  </xdr:twoCellAnchor>
  <xdr:twoCellAnchor>
    <xdr:from>
      <xdr:col>4</xdr:col>
      <xdr:colOff>171450</xdr:colOff>
      <xdr:row>208</xdr:row>
      <xdr:rowOff>0</xdr:rowOff>
    </xdr:from>
    <xdr:to>
      <xdr:col>8</xdr:col>
      <xdr:colOff>73025</xdr:colOff>
      <xdr:row>214</xdr:row>
      <xdr:rowOff>38100</xdr:rowOff>
    </xdr:to>
    <xdr:cxnSp macro="">
      <xdr:nvCxnSpPr>
        <xdr:cNvPr id="93" name="直線矢印コネクタ 92">
          <a:extLst>
            <a:ext uri="{FF2B5EF4-FFF2-40B4-BE49-F238E27FC236}">
              <a16:creationId xmlns:a16="http://schemas.microsoft.com/office/drawing/2014/main" id="{00000000-0008-0000-0300-00005D000000}"/>
            </a:ext>
          </a:extLst>
        </xdr:cNvPr>
        <xdr:cNvCxnSpPr/>
      </xdr:nvCxnSpPr>
      <xdr:spPr bwMode="auto">
        <a:xfrm flipV="1">
          <a:off x="1428750" y="33680400"/>
          <a:ext cx="1158875" cy="100965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282575</xdr:colOff>
      <xdr:row>217</xdr:row>
      <xdr:rowOff>133350</xdr:rowOff>
    </xdr:from>
    <xdr:to>
      <xdr:col>7</xdr:col>
      <xdr:colOff>200025</xdr:colOff>
      <xdr:row>221</xdr:row>
      <xdr:rowOff>92075</xdr:rowOff>
    </xdr:to>
    <xdr:sp macro="" textlink="">
      <xdr:nvSpPr>
        <xdr:cNvPr id="97" name="吹き出し: 角を丸めた四角形 96">
          <a:extLst>
            <a:ext uri="{FF2B5EF4-FFF2-40B4-BE49-F238E27FC236}">
              <a16:creationId xmlns:a16="http://schemas.microsoft.com/office/drawing/2014/main" id="{00000000-0008-0000-0300-000061000000}"/>
            </a:ext>
          </a:extLst>
        </xdr:cNvPr>
        <xdr:cNvSpPr/>
      </xdr:nvSpPr>
      <xdr:spPr bwMode="auto">
        <a:xfrm>
          <a:off x="282575" y="35271075"/>
          <a:ext cx="2117725" cy="60642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（相殺を希望した場合）</a:t>
          </a:r>
          <a:endParaRPr kumimoji="1" lang="en-US" altLang="ja-JP" sz="900"/>
        </a:p>
        <a:p>
          <a:pPr algn="l"/>
          <a:r>
            <a:rPr kumimoji="1" lang="ja-JP" altLang="en-US" sz="900"/>
            <a:t>累計差引支払額が</a:t>
          </a:r>
          <a:r>
            <a:rPr lang="ja-JP" altLang="ja-JP" sz="900" b="0" i="0">
              <a:effectLst/>
              <a:latin typeface="+mn-lt"/>
              <a:ea typeface="+mn-ea"/>
              <a:cs typeface="+mn-cs"/>
            </a:rPr>
            <a:t>マイナス額の場合は、</a:t>
          </a:r>
          <a:r>
            <a:rPr lang="ja-JP" altLang="en-US" sz="900" b="0" i="0">
              <a:effectLst/>
              <a:latin typeface="+mn-lt"/>
              <a:ea typeface="+mn-ea"/>
              <a:cs typeface="+mn-cs"/>
            </a:rPr>
            <a:t>翌月へ</a:t>
          </a:r>
          <a:r>
            <a:rPr lang="ja-JP" altLang="ja-JP" sz="900" b="0" i="0">
              <a:effectLst/>
              <a:latin typeface="+mn-lt"/>
              <a:ea typeface="+mn-ea"/>
              <a:cs typeface="+mn-cs"/>
            </a:rPr>
            <a:t>繰越</a:t>
          </a:r>
          <a:r>
            <a:rPr lang="ja-JP" altLang="en-US" sz="900" b="0" i="0">
              <a:effectLst/>
              <a:latin typeface="+mn-lt"/>
              <a:ea typeface="+mn-ea"/>
              <a:cs typeface="+mn-cs"/>
            </a:rPr>
            <a:t>します。</a:t>
          </a:r>
          <a:endParaRPr kumimoji="1" lang="ja-JP" altLang="en-US" sz="900"/>
        </a:p>
      </xdr:txBody>
    </xdr:sp>
    <xdr:clientData/>
  </xdr:twoCellAnchor>
  <xdr:twoCellAnchor>
    <xdr:from>
      <xdr:col>7</xdr:col>
      <xdr:colOff>152400</xdr:colOff>
      <xdr:row>212</xdr:row>
      <xdr:rowOff>47625</xdr:rowOff>
    </xdr:from>
    <xdr:to>
      <xdr:col>8</xdr:col>
      <xdr:colOff>92075</xdr:colOff>
      <xdr:row>218</xdr:row>
      <xdr:rowOff>0</xdr:rowOff>
    </xdr:to>
    <xdr:cxnSp macro="">
      <xdr:nvCxnSpPr>
        <xdr:cNvPr id="98" name="直線矢印コネクタ 97">
          <a:extLst>
            <a:ext uri="{FF2B5EF4-FFF2-40B4-BE49-F238E27FC236}">
              <a16:creationId xmlns:a16="http://schemas.microsoft.com/office/drawing/2014/main" id="{00000000-0008-0000-0300-000062000000}"/>
            </a:ext>
          </a:extLst>
        </xdr:cNvPr>
        <xdr:cNvCxnSpPr/>
      </xdr:nvCxnSpPr>
      <xdr:spPr bwMode="auto">
        <a:xfrm flipV="1">
          <a:off x="2352675" y="34375725"/>
          <a:ext cx="254000" cy="923925"/>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276225</xdr:colOff>
      <xdr:row>217</xdr:row>
      <xdr:rowOff>142873</xdr:rowOff>
    </xdr:from>
    <xdr:to>
      <xdr:col>13</xdr:col>
      <xdr:colOff>85725</xdr:colOff>
      <xdr:row>224</xdr:row>
      <xdr:rowOff>133349</xdr:rowOff>
    </xdr:to>
    <xdr:sp macro="" textlink="">
      <xdr:nvSpPr>
        <xdr:cNvPr id="101" name="吹き出し: 角を丸めた四角形 100">
          <a:extLst>
            <a:ext uri="{FF2B5EF4-FFF2-40B4-BE49-F238E27FC236}">
              <a16:creationId xmlns:a16="http://schemas.microsoft.com/office/drawing/2014/main" id="{00000000-0008-0000-0300-000065000000}"/>
            </a:ext>
          </a:extLst>
        </xdr:cNvPr>
        <xdr:cNvSpPr/>
      </xdr:nvSpPr>
      <xdr:spPr bwMode="auto">
        <a:xfrm>
          <a:off x="2476500" y="35280598"/>
          <a:ext cx="1695450" cy="1123951"/>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（相殺を希望した場合）</a:t>
          </a:r>
          <a:endParaRPr kumimoji="1" lang="en-US" altLang="ja-JP" sz="900"/>
        </a:p>
        <a:p>
          <a:pPr algn="l"/>
          <a:r>
            <a:rPr kumimoji="1" lang="ja-JP" altLang="en-US" sz="900"/>
            <a:t>累計差引支払額が</a:t>
          </a:r>
          <a:r>
            <a:rPr lang="ja-JP" altLang="en-US" sz="900" b="0" i="0">
              <a:effectLst/>
              <a:latin typeface="+mn-lt"/>
              <a:ea typeface="+mn-ea"/>
              <a:cs typeface="+mn-cs"/>
            </a:rPr>
            <a:t>プラスに転じた月から</a:t>
          </a:r>
          <a:r>
            <a:rPr lang="en-US" altLang="ja-JP" sz="900" b="0" i="0">
              <a:effectLst/>
              <a:latin typeface="+mn-lt"/>
              <a:ea typeface="+mn-ea"/>
              <a:cs typeface="+mn-cs"/>
            </a:rPr>
            <a:t>AOTS</a:t>
          </a:r>
          <a:r>
            <a:rPr lang="ja-JP" altLang="en-US" sz="900" b="0" i="0">
              <a:effectLst/>
              <a:latin typeface="+mn-lt"/>
              <a:ea typeface="+mn-ea"/>
              <a:cs typeface="+mn-cs"/>
            </a:rPr>
            <a:t>から受入企業の支払いが開始します。プラスに転じた初月は累計差引額が支払い額になります。</a:t>
          </a:r>
          <a:endParaRPr lang="en-US" altLang="ja-JP" sz="900" b="0" i="0">
            <a:effectLst/>
            <a:latin typeface="+mn-lt"/>
            <a:ea typeface="+mn-ea"/>
            <a:cs typeface="+mn-cs"/>
          </a:endParaRPr>
        </a:p>
        <a:p>
          <a:pPr algn="l"/>
          <a:endParaRPr kumimoji="1" lang="ja-JP" altLang="en-US" sz="900"/>
        </a:p>
      </xdr:txBody>
    </xdr:sp>
    <xdr:clientData/>
  </xdr:twoCellAnchor>
  <xdr:twoCellAnchor>
    <xdr:from>
      <xdr:col>9</xdr:col>
      <xdr:colOff>152400</xdr:colOff>
      <xdr:row>212</xdr:row>
      <xdr:rowOff>63500</xdr:rowOff>
    </xdr:from>
    <xdr:to>
      <xdr:col>11</xdr:col>
      <xdr:colOff>196850</xdr:colOff>
      <xdr:row>218</xdr:row>
      <xdr:rowOff>0</xdr:rowOff>
    </xdr:to>
    <xdr:cxnSp macro="">
      <xdr:nvCxnSpPr>
        <xdr:cNvPr id="102" name="直線矢印コネクタ 101">
          <a:extLst>
            <a:ext uri="{FF2B5EF4-FFF2-40B4-BE49-F238E27FC236}">
              <a16:creationId xmlns:a16="http://schemas.microsoft.com/office/drawing/2014/main" id="{00000000-0008-0000-0300-000066000000}"/>
            </a:ext>
          </a:extLst>
        </xdr:cNvPr>
        <xdr:cNvCxnSpPr/>
      </xdr:nvCxnSpPr>
      <xdr:spPr bwMode="auto">
        <a:xfrm flipV="1">
          <a:off x="2981325" y="34391600"/>
          <a:ext cx="673100" cy="90805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47625</xdr:colOff>
      <xdr:row>225</xdr:row>
      <xdr:rowOff>79374</xdr:rowOff>
    </xdr:from>
    <xdr:to>
      <xdr:col>14</xdr:col>
      <xdr:colOff>276225</xdr:colOff>
      <xdr:row>229</xdr:row>
      <xdr:rowOff>34925</xdr:rowOff>
    </xdr:to>
    <xdr:sp macro="" textlink="">
      <xdr:nvSpPr>
        <xdr:cNvPr id="104" name="吹き出し: 角を丸めた四角形 103">
          <a:extLst>
            <a:ext uri="{FF2B5EF4-FFF2-40B4-BE49-F238E27FC236}">
              <a16:creationId xmlns:a16="http://schemas.microsoft.com/office/drawing/2014/main" id="{00000000-0008-0000-0300-000068000000}"/>
            </a:ext>
          </a:extLst>
        </xdr:cNvPr>
        <xdr:cNvSpPr/>
      </xdr:nvSpPr>
      <xdr:spPr bwMode="auto">
        <a:xfrm>
          <a:off x="2562225" y="36512499"/>
          <a:ext cx="2114550" cy="603251"/>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（相殺を希望した場合）</a:t>
          </a:r>
          <a:endParaRPr kumimoji="1" lang="en-US" altLang="ja-JP" sz="900"/>
        </a:p>
        <a:p>
          <a:pPr algn="l"/>
          <a:r>
            <a:rPr lang="ja-JP" altLang="en-US" sz="900" b="0" i="0">
              <a:effectLst/>
              <a:latin typeface="+mn-lt"/>
              <a:ea typeface="+mn-ea"/>
              <a:cs typeface="+mn-cs"/>
            </a:rPr>
            <a:t>プラスに転じた月の翌月からは、当月支払額が支払い額になります。</a:t>
          </a:r>
          <a:endParaRPr kumimoji="1" lang="ja-JP" altLang="en-US" sz="900"/>
        </a:p>
      </xdr:txBody>
    </xdr:sp>
    <xdr:clientData/>
  </xdr:twoCellAnchor>
  <xdr:twoCellAnchor>
    <xdr:from>
      <xdr:col>13</xdr:col>
      <xdr:colOff>200025</xdr:colOff>
      <xdr:row>210</xdr:row>
      <xdr:rowOff>57150</xdr:rowOff>
    </xdr:from>
    <xdr:to>
      <xdr:col>13</xdr:col>
      <xdr:colOff>257175</xdr:colOff>
      <xdr:row>225</xdr:row>
      <xdr:rowOff>57150</xdr:rowOff>
    </xdr:to>
    <xdr:cxnSp macro="">
      <xdr:nvCxnSpPr>
        <xdr:cNvPr id="107" name="直線矢印コネクタ 106">
          <a:extLst>
            <a:ext uri="{FF2B5EF4-FFF2-40B4-BE49-F238E27FC236}">
              <a16:creationId xmlns:a16="http://schemas.microsoft.com/office/drawing/2014/main" id="{00000000-0008-0000-0300-00006B000000}"/>
            </a:ext>
          </a:extLst>
        </xdr:cNvPr>
        <xdr:cNvCxnSpPr/>
      </xdr:nvCxnSpPr>
      <xdr:spPr bwMode="auto">
        <a:xfrm flipV="1">
          <a:off x="4286250" y="34061400"/>
          <a:ext cx="57150" cy="2428875"/>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47625</xdr:colOff>
      <xdr:row>225</xdr:row>
      <xdr:rowOff>79374</xdr:rowOff>
    </xdr:from>
    <xdr:to>
      <xdr:col>14</xdr:col>
      <xdr:colOff>276225</xdr:colOff>
      <xdr:row>229</xdr:row>
      <xdr:rowOff>34925</xdr:rowOff>
    </xdr:to>
    <xdr:sp macro="" textlink="">
      <xdr:nvSpPr>
        <xdr:cNvPr id="109" name="吹き出し: 角を丸めた四角形 108">
          <a:extLst>
            <a:ext uri="{FF2B5EF4-FFF2-40B4-BE49-F238E27FC236}">
              <a16:creationId xmlns:a16="http://schemas.microsoft.com/office/drawing/2014/main" id="{00000000-0008-0000-0300-00006D000000}"/>
            </a:ext>
          </a:extLst>
        </xdr:cNvPr>
        <xdr:cNvSpPr/>
      </xdr:nvSpPr>
      <xdr:spPr bwMode="auto">
        <a:xfrm>
          <a:off x="2562225" y="36512499"/>
          <a:ext cx="2114550" cy="603251"/>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（相殺を希望した場合）</a:t>
          </a:r>
          <a:endParaRPr kumimoji="1" lang="en-US" altLang="ja-JP" sz="900"/>
        </a:p>
        <a:p>
          <a:pPr algn="l"/>
          <a:r>
            <a:rPr lang="ja-JP" altLang="en-US" sz="900" b="0" i="0">
              <a:effectLst/>
              <a:latin typeface="+mn-lt"/>
              <a:ea typeface="+mn-ea"/>
              <a:cs typeface="+mn-cs"/>
            </a:rPr>
            <a:t>プラスに転じた月の翌月からは、当月支払額が支払い額になります。</a:t>
          </a:r>
          <a:endParaRPr kumimoji="1" lang="ja-JP" altLang="en-US" sz="900"/>
        </a:p>
      </xdr:txBody>
    </xdr:sp>
    <xdr:clientData/>
  </xdr:twoCellAnchor>
  <xdr:twoCellAnchor>
    <xdr:from>
      <xdr:col>11</xdr:col>
      <xdr:colOff>177800</xdr:colOff>
      <xdr:row>230</xdr:row>
      <xdr:rowOff>0</xdr:rowOff>
    </xdr:from>
    <xdr:to>
      <xdr:col>17</xdr:col>
      <xdr:colOff>180975</xdr:colOff>
      <xdr:row>235</xdr:row>
      <xdr:rowOff>38100</xdr:rowOff>
    </xdr:to>
    <xdr:sp macro="" textlink="">
      <xdr:nvSpPr>
        <xdr:cNvPr id="110" name="吹き出し: 角を丸めた四角形 109">
          <a:extLst>
            <a:ext uri="{FF2B5EF4-FFF2-40B4-BE49-F238E27FC236}">
              <a16:creationId xmlns:a16="http://schemas.microsoft.com/office/drawing/2014/main" id="{00000000-0008-0000-0300-00006E000000}"/>
            </a:ext>
          </a:extLst>
        </xdr:cNvPr>
        <xdr:cNvSpPr/>
      </xdr:nvSpPr>
      <xdr:spPr bwMode="auto">
        <a:xfrm>
          <a:off x="3635375" y="37242750"/>
          <a:ext cx="1889125" cy="847725"/>
        </a:xfrm>
        <a:prstGeom prst="wedgeRoundRectCallout">
          <a:avLst>
            <a:gd name="adj1" fmla="val -48624"/>
            <a:gd name="adj2" fmla="val -207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900"/>
            <a:t>（相殺を希望した場合）</a:t>
          </a:r>
          <a:endParaRPr kumimoji="1" lang="en-US" altLang="ja-JP" sz="900"/>
        </a:p>
        <a:p>
          <a:pPr algn="l"/>
          <a:r>
            <a:rPr lang="ja-JP" altLang="en-US" sz="900" b="0" i="0">
              <a:effectLst/>
              <a:latin typeface="+mn-lt"/>
              <a:ea typeface="+mn-ea"/>
              <a:cs typeface="+mn-cs"/>
            </a:rPr>
            <a:t>最終精算月に合計精算額がマイナスの場合、受入企業にお支払い頂きます。</a:t>
          </a:r>
        </a:p>
      </xdr:txBody>
    </xdr:sp>
    <xdr:clientData/>
  </xdr:twoCellAnchor>
  <xdr:twoCellAnchor>
    <xdr:from>
      <xdr:col>16</xdr:col>
      <xdr:colOff>276225</xdr:colOff>
      <xdr:row>213</xdr:row>
      <xdr:rowOff>0</xdr:rowOff>
    </xdr:from>
    <xdr:to>
      <xdr:col>17</xdr:col>
      <xdr:colOff>9525</xdr:colOff>
      <xdr:row>229</xdr:row>
      <xdr:rowOff>142875</xdr:rowOff>
    </xdr:to>
    <xdr:cxnSp macro="">
      <xdr:nvCxnSpPr>
        <xdr:cNvPr id="111" name="直線矢印コネクタ 110">
          <a:extLst>
            <a:ext uri="{FF2B5EF4-FFF2-40B4-BE49-F238E27FC236}">
              <a16:creationId xmlns:a16="http://schemas.microsoft.com/office/drawing/2014/main" id="{00000000-0008-0000-0300-00006F000000}"/>
            </a:ext>
          </a:extLst>
        </xdr:cNvPr>
        <xdr:cNvCxnSpPr/>
      </xdr:nvCxnSpPr>
      <xdr:spPr bwMode="auto">
        <a:xfrm flipV="1">
          <a:off x="5305425" y="34490025"/>
          <a:ext cx="47625" cy="2733675"/>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238498</xdr:colOff>
      <xdr:row>2</xdr:row>
      <xdr:rowOff>148851</xdr:rowOff>
    </xdr:from>
    <xdr:to>
      <xdr:col>22</xdr:col>
      <xdr:colOff>506694</xdr:colOff>
      <xdr:row>12</xdr:row>
      <xdr:rowOff>101974</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5886263" y="462616"/>
          <a:ext cx="2688666" cy="152194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000">
              <a:solidFill>
                <a:srgbClr val="FF0000"/>
              </a:solidFill>
            </a:rPr>
            <a:t>補助率２／３を前提に説明がされています。</a:t>
          </a:r>
          <a:endParaRPr kumimoji="1" lang="en-US" altLang="ja-JP" sz="1000">
            <a:solidFill>
              <a:srgbClr val="FF0000"/>
            </a:solidFill>
          </a:endParaRPr>
        </a:p>
        <a:p>
          <a:pPr algn="l"/>
          <a:r>
            <a:rPr kumimoji="1" lang="ja-JP" altLang="en-US" sz="1000">
              <a:solidFill>
                <a:srgbClr val="FF0000"/>
              </a:solidFill>
            </a:rPr>
            <a:t>企業規模により、補助率を読み替えてください。</a:t>
          </a:r>
        </a:p>
      </xdr:txBody>
    </xdr:sp>
    <xdr:clientData/>
  </xdr:twoCellAnchor>
  <xdr:twoCellAnchor editAs="oneCell">
    <xdr:from>
      <xdr:col>0</xdr:col>
      <xdr:colOff>33618</xdr:colOff>
      <xdr:row>4</xdr:row>
      <xdr:rowOff>22412</xdr:rowOff>
    </xdr:from>
    <xdr:to>
      <xdr:col>17</xdr:col>
      <xdr:colOff>257200</xdr:colOff>
      <xdr:row>21</xdr:row>
      <xdr:rowOff>146796</xdr:rowOff>
    </xdr:to>
    <xdr:pic>
      <xdr:nvPicPr>
        <xdr:cNvPr id="18" name="図 17">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3618" y="694765"/>
          <a:ext cx="6129082" cy="2981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27215</xdr:colOff>
      <xdr:row>9</xdr:row>
      <xdr:rowOff>123394</xdr:rowOff>
    </xdr:from>
    <xdr:to>
      <xdr:col>10</xdr:col>
      <xdr:colOff>623201</xdr:colOff>
      <xdr:row>45</xdr:row>
      <xdr:rowOff>127411</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27215" y="1682030"/>
          <a:ext cx="7523259" cy="6238563"/>
        </a:xfrm>
        <a:prstGeom prst="rect">
          <a:avLst/>
        </a:prstGeom>
      </xdr:spPr>
    </xdr:pic>
    <xdr:clientData/>
  </xdr:twoCellAnchor>
  <xdr:twoCellAnchor editAs="oneCell">
    <xdr:from>
      <xdr:col>11</xdr:col>
      <xdr:colOff>122773</xdr:colOff>
      <xdr:row>9</xdr:row>
      <xdr:rowOff>112259</xdr:rowOff>
    </xdr:from>
    <xdr:to>
      <xdr:col>22</xdr:col>
      <xdr:colOff>494899</xdr:colOff>
      <xdr:row>52</xdr:row>
      <xdr:rowOff>88446</xdr:rowOff>
    </xdr:to>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7606702" y="1704295"/>
          <a:ext cx="7856054" cy="7582580"/>
        </a:xfrm>
        <a:prstGeom prst="rect">
          <a:avLst/>
        </a:prstGeom>
      </xdr:spPr>
    </xdr:pic>
    <xdr:clientData/>
  </xdr:twoCellAnchor>
  <xdr:twoCellAnchor>
    <xdr:from>
      <xdr:col>0</xdr:col>
      <xdr:colOff>388114</xdr:colOff>
      <xdr:row>62</xdr:row>
      <xdr:rowOff>144277</xdr:rowOff>
    </xdr:from>
    <xdr:to>
      <xdr:col>11</xdr:col>
      <xdr:colOff>295573</xdr:colOff>
      <xdr:row>116</xdr:row>
      <xdr:rowOff>0</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388114" y="10704701"/>
          <a:ext cx="6613059" cy="9053511"/>
          <a:chOff x="388114" y="11105284"/>
          <a:chExt cx="7391388" cy="9414287"/>
        </a:xfrm>
      </xdr:grpSpPr>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a:stretch>
            <a:fillRect/>
          </a:stretch>
        </xdr:blipFill>
        <xdr:spPr>
          <a:xfrm>
            <a:off x="388114" y="11105284"/>
            <a:ext cx="7391388" cy="9414287"/>
          </a:xfrm>
          <a:prstGeom prst="rect">
            <a:avLst/>
          </a:prstGeom>
        </xdr:spPr>
      </xdr:pic>
      <xdr:sp macro="" textlink="">
        <xdr:nvSpPr>
          <xdr:cNvPr id="8" name="正方形/長方形 7">
            <a:extLst>
              <a:ext uri="{FF2B5EF4-FFF2-40B4-BE49-F238E27FC236}">
                <a16:creationId xmlns:a16="http://schemas.microsoft.com/office/drawing/2014/main" id="{00000000-0008-0000-0400-000008000000}"/>
              </a:ext>
            </a:extLst>
          </xdr:cNvPr>
          <xdr:cNvSpPr/>
        </xdr:nvSpPr>
        <xdr:spPr bwMode="auto">
          <a:xfrm>
            <a:off x="1905000" y="11906249"/>
            <a:ext cx="911679" cy="244929"/>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921328" y="12235542"/>
            <a:ext cx="911679" cy="244929"/>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bwMode="auto">
          <a:xfrm>
            <a:off x="3801835" y="11911692"/>
            <a:ext cx="1396094" cy="253094"/>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0000000-0008-0000-0400-00000B000000}"/>
              </a:ext>
            </a:extLst>
          </xdr:cNvPr>
          <xdr:cNvSpPr/>
        </xdr:nvSpPr>
        <xdr:spPr bwMode="auto">
          <a:xfrm>
            <a:off x="3818164" y="12227376"/>
            <a:ext cx="1869622" cy="323701"/>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11</xdr:col>
      <xdr:colOff>449263</xdr:colOff>
      <xdr:row>62</xdr:row>
      <xdr:rowOff>95252</xdr:rowOff>
    </xdr:from>
    <xdr:to>
      <xdr:col>23</xdr:col>
      <xdr:colOff>6451</xdr:colOff>
      <xdr:row>109</xdr:row>
      <xdr:rowOff>68262</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7154863" y="10655676"/>
          <a:ext cx="6872388" cy="7978492"/>
          <a:chOff x="7936367" y="11062609"/>
          <a:chExt cx="7715123" cy="8290149"/>
        </a:xfrm>
      </xdr:grpSpPr>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a:stretch>
            <a:fillRect/>
          </a:stretch>
        </xdr:blipFill>
        <xdr:spPr>
          <a:xfrm>
            <a:off x="7936367" y="11062609"/>
            <a:ext cx="7715123" cy="8290149"/>
          </a:xfrm>
          <a:prstGeom prst="rect">
            <a:avLst/>
          </a:prstGeom>
        </xdr:spPr>
      </xdr:pic>
      <xdr:sp macro="" textlink="">
        <xdr:nvSpPr>
          <xdr:cNvPr id="13" name="正方形/長方形 12">
            <a:extLst>
              <a:ext uri="{FF2B5EF4-FFF2-40B4-BE49-F238E27FC236}">
                <a16:creationId xmlns:a16="http://schemas.microsoft.com/office/drawing/2014/main" id="{00000000-0008-0000-0400-00000D000000}"/>
              </a:ext>
            </a:extLst>
          </xdr:cNvPr>
          <xdr:cNvSpPr/>
        </xdr:nvSpPr>
        <xdr:spPr bwMode="auto">
          <a:xfrm>
            <a:off x="9538607" y="13702393"/>
            <a:ext cx="721179" cy="21771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400-00000E000000}"/>
              </a:ext>
            </a:extLst>
          </xdr:cNvPr>
          <xdr:cNvSpPr/>
        </xdr:nvSpPr>
        <xdr:spPr bwMode="auto">
          <a:xfrm>
            <a:off x="9541329" y="14058900"/>
            <a:ext cx="721179" cy="21771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1367407" y="13707836"/>
            <a:ext cx="1232807" cy="24422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400-000010000000}"/>
              </a:ext>
            </a:extLst>
          </xdr:cNvPr>
          <xdr:cNvSpPr/>
        </xdr:nvSpPr>
        <xdr:spPr bwMode="auto">
          <a:xfrm>
            <a:off x="11342914" y="14077950"/>
            <a:ext cx="1842407" cy="2095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grpSp>
    <xdr:clientData/>
  </xdr:twoCellAnchor>
  <xdr:twoCellAnchor editAs="oneCell">
    <xdr:from>
      <xdr:col>0</xdr:col>
      <xdr:colOff>333375</xdr:colOff>
      <xdr:row>126</xdr:row>
      <xdr:rowOff>119063</xdr:rowOff>
    </xdr:from>
    <xdr:to>
      <xdr:col>11</xdr:col>
      <xdr:colOff>144110</xdr:colOff>
      <xdr:row>163</xdr:row>
      <xdr:rowOff>22592</xdr:rowOff>
    </xdr:to>
    <xdr:pic>
      <xdr:nvPicPr>
        <xdr:cNvPr id="18" name="図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5"/>
        <a:stretch>
          <a:fillRect/>
        </a:stretch>
      </xdr:blipFill>
      <xdr:spPr>
        <a:xfrm>
          <a:off x="333375" y="21939972"/>
          <a:ext cx="7430735" cy="6311256"/>
        </a:xfrm>
        <a:prstGeom prst="rect">
          <a:avLst/>
        </a:prstGeom>
      </xdr:spPr>
    </xdr:pic>
    <xdr:clientData/>
  </xdr:twoCellAnchor>
  <xdr:twoCellAnchor editAs="oneCell">
    <xdr:from>
      <xdr:col>11</xdr:col>
      <xdr:colOff>523875</xdr:colOff>
      <xdr:row>125</xdr:row>
      <xdr:rowOff>119063</xdr:rowOff>
    </xdr:from>
    <xdr:to>
      <xdr:col>22</xdr:col>
      <xdr:colOff>489593</xdr:colOff>
      <xdr:row>166</xdr:row>
      <xdr:rowOff>161066</xdr:rowOff>
    </xdr:to>
    <xdr:pic>
      <xdr:nvPicPr>
        <xdr:cNvPr id="19" name="図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6"/>
        <a:stretch>
          <a:fillRect/>
        </a:stretch>
      </xdr:blipFill>
      <xdr:spPr>
        <a:xfrm>
          <a:off x="8120063" y="20955001"/>
          <a:ext cx="7561905" cy="6876190"/>
        </a:xfrm>
        <a:prstGeom prst="rect">
          <a:avLst/>
        </a:prstGeom>
      </xdr:spPr>
    </xdr:pic>
    <xdr:clientData/>
  </xdr:twoCellAnchor>
  <xdr:twoCellAnchor>
    <xdr:from>
      <xdr:col>0</xdr:col>
      <xdr:colOff>151535</xdr:colOff>
      <xdr:row>180</xdr:row>
      <xdr:rowOff>0</xdr:rowOff>
    </xdr:from>
    <xdr:to>
      <xdr:col>10</xdr:col>
      <xdr:colOff>342035</xdr:colOff>
      <xdr:row>235</xdr:row>
      <xdr:rowOff>13508</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151535" y="30659294"/>
          <a:ext cx="6286500" cy="9381626"/>
          <a:chOff x="151535" y="31172727"/>
          <a:chExt cx="7117773" cy="9538508"/>
        </a:xfrm>
      </xdr:grpSpPr>
      <xdr:pic>
        <xdr:nvPicPr>
          <xdr:cNvPr id="20" name="図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7"/>
          <a:stretch>
            <a:fillRect/>
          </a:stretch>
        </xdr:blipFill>
        <xdr:spPr>
          <a:xfrm>
            <a:off x="151535" y="31172727"/>
            <a:ext cx="7117773" cy="9538508"/>
          </a:xfrm>
          <a:prstGeom prst="rect">
            <a:avLst/>
          </a:prstGeom>
        </xdr:spPr>
      </xdr:pic>
      <xdr:sp macro="" textlink="">
        <xdr:nvSpPr>
          <xdr:cNvPr id="23" name="正方形/長方形 22">
            <a:extLst>
              <a:ext uri="{FF2B5EF4-FFF2-40B4-BE49-F238E27FC236}">
                <a16:creationId xmlns:a16="http://schemas.microsoft.com/office/drawing/2014/main" id="{00000000-0008-0000-0400-000017000000}"/>
              </a:ext>
            </a:extLst>
          </xdr:cNvPr>
          <xdr:cNvSpPr/>
        </xdr:nvSpPr>
        <xdr:spPr bwMode="auto">
          <a:xfrm>
            <a:off x="1575955" y="32073273"/>
            <a:ext cx="900545" cy="17318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400-000018000000}"/>
              </a:ext>
            </a:extLst>
          </xdr:cNvPr>
          <xdr:cNvSpPr/>
        </xdr:nvSpPr>
        <xdr:spPr bwMode="auto">
          <a:xfrm>
            <a:off x="1624446" y="32433491"/>
            <a:ext cx="900545" cy="17318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400-000019000000}"/>
              </a:ext>
            </a:extLst>
          </xdr:cNvPr>
          <xdr:cNvSpPr/>
        </xdr:nvSpPr>
        <xdr:spPr bwMode="auto">
          <a:xfrm>
            <a:off x="3491346" y="32031709"/>
            <a:ext cx="1357745" cy="21474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00000000-0008-0000-0400-00001A000000}"/>
              </a:ext>
            </a:extLst>
          </xdr:cNvPr>
          <xdr:cNvSpPr/>
        </xdr:nvSpPr>
        <xdr:spPr bwMode="auto">
          <a:xfrm>
            <a:off x="3487883" y="32374608"/>
            <a:ext cx="1828799" cy="21821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grpSp>
    <xdr:clientData/>
  </xdr:twoCellAnchor>
  <xdr:twoCellAnchor>
    <xdr:from>
      <xdr:col>11</xdr:col>
      <xdr:colOff>552018</xdr:colOff>
      <xdr:row>180</xdr:row>
      <xdr:rowOff>23812</xdr:rowOff>
    </xdr:from>
    <xdr:to>
      <xdr:col>22</xdr:col>
      <xdr:colOff>391319</xdr:colOff>
      <xdr:row>225</xdr:row>
      <xdr:rowOff>95250</xdr:rowOff>
    </xdr:to>
    <xdr:grpSp>
      <xdr:nvGrpSpPr>
        <xdr:cNvPr id="32" name="グループ化 31">
          <a:extLst>
            <a:ext uri="{FF2B5EF4-FFF2-40B4-BE49-F238E27FC236}">
              <a16:creationId xmlns:a16="http://schemas.microsoft.com/office/drawing/2014/main" id="{00000000-0008-0000-0400-000020000000}"/>
            </a:ext>
          </a:extLst>
        </xdr:cNvPr>
        <xdr:cNvGrpSpPr/>
      </xdr:nvGrpSpPr>
      <xdr:grpSpPr>
        <a:xfrm>
          <a:off x="7257618" y="30683106"/>
          <a:ext cx="6544901" cy="7736262"/>
          <a:chOff x="8035947" y="31864526"/>
          <a:chExt cx="7323229" cy="8031617"/>
        </a:xfrm>
      </xdr:grpSpPr>
      <xdr:pic>
        <xdr:nvPicPr>
          <xdr:cNvPr id="21" name="図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8"/>
          <a:stretch>
            <a:fillRect/>
          </a:stretch>
        </xdr:blipFill>
        <xdr:spPr>
          <a:xfrm>
            <a:off x="8035947" y="31864526"/>
            <a:ext cx="7323229" cy="8031617"/>
          </a:xfrm>
          <a:prstGeom prst="rect">
            <a:avLst/>
          </a:prstGeom>
        </xdr:spPr>
      </xdr:pic>
      <xdr:sp macro="" textlink="">
        <xdr:nvSpPr>
          <xdr:cNvPr id="28" name="正方形/長方形 27">
            <a:extLst>
              <a:ext uri="{FF2B5EF4-FFF2-40B4-BE49-F238E27FC236}">
                <a16:creationId xmlns:a16="http://schemas.microsoft.com/office/drawing/2014/main" id="{00000000-0008-0000-0400-00001C000000}"/>
              </a:ext>
            </a:extLst>
          </xdr:cNvPr>
          <xdr:cNvSpPr/>
        </xdr:nvSpPr>
        <xdr:spPr bwMode="auto">
          <a:xfrm>
            <a:off x="9484179" y="34412464"/>
            <a:ext cx="639535" cy="204107"/>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29" name="正方形/長方形 28">
            <a:extLst>
              <a:ext uri="{FF2B5EF4-FFF2-40B4-BE49-F238E27FC236}">
                <a16:creationId xmlns:a16="http://schemas.microsoft.com/office/drawing/2014/main" id="{00000000-0008-0000-0400-00001D000000}"/>
              </a:ext>
            </a:extLst>
          </xdr:cNvPr>
          <xdr:cNvSpPr/>
        </xdr:nvSpPr>
        <xdr:spPr bwMode="auto">
          <a:xfrm>
            <a:off x="9418865" y="34768971"/>
            <a:ext cx="732064" cy="18777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30" name="正方形/長方形 29">
            <a:extLst>
              <a:ext uri="{FF2B5EF4-FFF2-40B4-BE49-F238E27FC236}">
                <a16:creationId xmlns:a16="http://schemas.microsoft.com/office/drawing/2014/main" id="{00000000-0008-0000-0400-00001E000000}"/>
              </a:ext>
            </a:extLst>
          </xdr:cNvPr>
          <xdr:cNvSpPr/>
        </xdr:nvSpPr>
        <xdr:spPr bwMode="auto">
          <a:xfrm>
            <a:off x="11095264" y="34431514"/>
            <a:ext cx="1355271" cy="19866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00000000-0008-0000-0400-00001F000000}"/>
              </a:ext>
            </a:extLst>
          </xdr:cNvPr>
          <xdr:cNvSpPr/>
        </xdr:nvSpPr>
        <xdr:spPr bwMode="auto">
          <a:xfrm>
            <a:off x="11179628" y="34733593"/>
            <a:ext cx="1883229" cy="23676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grpSp>
    <xdr:clientData/>
  </xdr:twoCellAnchor>
  <xdr:twoCellAnchor>
    <xdr:from>
      <xdr:col>0</xdr:col>
      <xdr:colOff>155863</xdr:colOff>
      <xdr:row>0</xdr:row>
      <xdr:rowOff>138546</xdr:rowOff>
    </xdr:from>
    <xdr:to>
      <xdr:col>10</xdr:col>
      <xdr:colOff>484909</xdr:colOff>
      <xdr:row>4</xdr:row>
      <xdr:rowOff>121228</xdr:rowOff>
    </xdr:to>
    <xdr:sp macro="" textlink="">
      <xdr:nvSpPr>
        <xdr:cNvPr id="33" name="正方形/長方形 32">
          <a:extLst>
            <a:ext uri="{FF2B5EF4-FFF2-40B4-BE49-F238E27FC236}">
              <a16:creationId xmlns:a16="http://schemas.microsoft.com/office/drawing/2014/main" id="{00000000-0008-0000-0400-000021000000}"/>
            </a:ext>
          </a:extLst>
        </xdr:cNvPr>
        <xdr:cNvSpPr/>
      </xdr:nvSpPr>
      <xdr:spPr bwMode="auto">
        <a:xfrm>
          <a:off x="155863" y="138546"/>
          <a:ext cx="7256319" cy="67540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400" b="1"/>
            <a:t>受入費等支払い、分担金請求について</a:t>
          </a:r>
          <a:endParaRPr kumimoji="1" lang="en-US" altLang="ja-JP" sz="1400" b="1"/>
        </a:p>
        <a:p>
          <a:pPr algn="ctr"/>
          <a:r>
            <a:rPr kumimoji="1" lang="en-US" altLang="ja-JP" sz="1400" b="1"/>
            <a:t>AOTS</a:t>
          </a:r>
          <a:r>
            <a:rPr kumimoji="1" lang="ja-JP" altLang="en-US" sz="1400" b="1"/>
            <a:t>から受入企業へ毎月送付する通知書の見方</a:t>
          </a:r>
        </a:p>
      </xdr:txBody>
    </xdr:sp>
    <xdr:clientData/>
  </xdr:twoCellAnchor>
  <xdr:twoCellAnchor>
    <xdr:from>
      <xdr:col>0</xdr:col>
      <xdr:colOff>1</xdr:colOff>
      <xdr:row>8</xdr:row>
      <xdr:rowOff>69272</xdr:rowOff>
    </xdr:from>
    <xdr:to>
      <xdr:col>10</xdr:col>
      <xdr:colOff>658092</xdr:colOff>
      <xdr:row>49</xdr:row>
      <xdr:rowOff>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bwMode="auto">
        <a:xfrm>
          <a:off x="1" y="1454727"/>
          <a:ext cx="7585364" cy="7031182"/>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329046</xdr:colOff>
      <xdr:row>8</xdr:row>
      <xdr:rowOff>48489</xdr:rowOff>
    </xdr:from>
    <xdr:to>
      <xdr:col>22</xdr:col>
      <xdr:colOff>467592</xdr:colOff>
      <xdr:row>54</xdr:row>
      <xdr:rowOff>138545</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bwMode="auto">
        <a:xfrm>
          <a:off x="7949046" y="1433944"/>
          <a:ext cx="7758546" cy="8056419"/>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76388</xdr:colOff>
      <xdr:row>61</xdr:row>
      <xdr:rowOff>51336</xdr:rowOff>
    </xdr:from>
    <xdr:to>
      <xdr:col>11</xdr:col>
      <xdr:colOff>86592</xdr:colOff>
      <xdr:row>116</xdr:row>
      <xdr:rowOff>121227</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bwMode="auto">
        <a:xfrm>
          <a:off x="76388" y="10615427"/>
          <a:ext cx="7630204" cy="9594891"/>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450272</xdr:colOff>
      <xdr:row>61</xdr:row>
      <xdr:rowOff>30554</xdr:rowOff>
    </xdr:from>
    <xdr:to>
      <xdr:col>22</xdr:col>
      <xdr:colOff>606135</xdr:colOff>
      <xdr:row>117</xdr:row>
      <xdr:rowOff>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bwMode="auto">
        <a:xfrm>
          <a:off x="8070272" y="10594645"/>
          <a:ext cx="7775863" cy="9667628"/>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69273</xdr:colOff>
      <xdr:row>125</xdr:row>
      <xdr:rowOff>34636</xdr:rowOff>
    </xdr:from>
    <xdr:to>
      <xdr:col>11</xdr:col>
      <xdr:colOff>34637</xdr:colOff>
      <xdr:row>165</xdr:row>
      <xdr:rowOff>138545</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bwMode="auto">
        <a:xfrm>
          <a:off x="69273" y="21682363"/>
          <a:ext cx="7585364" cy="7031182"/>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412173</xdr:colOff>
      <xdr:row>125</xdr:row>
      <xdr:rowOff>65808</xdr:rowOff>
    </xdr:from>
    <xdr:to>
      <xdr:col>22</xdr:col>
      <xdr:colOff>519545</xdr:colOff>
      <xdr:row>166</xdr:row>
      <xdr:rowOff>86590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bwMode="auto">
        <a:xfrm>
          <a:off x="8032173" y="21713535"/>
          <a:ext cx="7727372" cy="7121237"/>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103908</xdr:colOff>
      <xdr:row>180</xdr:row>
      <xdr:rowOff>17318</xdr:rowOff>
    </xdr:from>
    <xdr:to>
      <xdr:col>11</xdr:col>
      <xdr:colOff>51955</xdr:colOff>
      <xdr:row>235</xdr:row>
      <xdr:rowOff>1</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bwMode="auto">
        <a:xfrm>
          <a:off x="103908" y="31190045"/>
          <a:ext cx="7568047" cy="9507683"/>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204354</xdr:colOff>
      <xdr:row>179</xdr:row>
      <xdr:rowOff>152401</xdr:rowOff>
    </xdr:from>
    <xdr:to>
      <xdr:col>22</xdr:col>
      <xdr:colOff>554182</xdr:colOff>
      <xdr:row>234</xdr:row>
      <xdr:rowOff>51957</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bwMode="auto">
        <a:xfrm>
          <a:off x="7824354" y="31151946"/>
          <a:ext cx="7969828" cy="9424556"/>
        </a:xfrm>
        <a:prstGeom prst="rect">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48491</xdr:colOff>
      <xdr:row>5</xdr:row>
      <xdr:rowOff>83128</xdr:rowOff>
    </xdr:from>
    <xdr:to>
      <xdr:col>1</xdr:col>
      <xdr:colOff>83128</xdr:colOff>
      <xdr:row>8</xdr:row>
      <xdr:rowOff>13855</xdr:rowOff>
    </xdr:to>
    <xdr:sp macro="" textlink="">
      <xdr:nvSpPr>
        <xdr:cNvPr id="44" name="正方形/長方形 43">
          <a:extLst>
            <a:ext uri="{FF2B5EF4-FFF2-40B4-BE49-F238E27FC236}">
              <a16:creationId xmlns:a16="http://schemas.microsoft.com/office/drawing/2014/main" id="{00000000-0008-0000-0400-00002C000000}"/>
            </a:ext>
          </a:extLst>
        </xdr:cNvPr>
        <xdr:cNvSpPr/>
      </xdr:nvSpPr>
      <xdr:spPr bwMode="auto">
        <a:xfrm>
          <a:off x="48491" y="949037"/>
          <a:ext cx="727364" cy="450273"/>
        </a:xfrm>
        <a:prstGeom prst="rect">
          <a:avLst/>
        </a:prstGeom>
        <a:solidFill>
          <a:schemeClr val="bg1">
            <a:lumMod val="50000"/>
          </a:schemeClr>
        </a:solid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400" b="1">
              <a:solidFill>
                <a:schemeClr val="bg1">
                  <a:lumMod val="95000"/>
                </a:schemeClr>
              </a:solidFill>
            </a:rPr>
            <a:t>例</a:t>
          </a:r>
        </a:p>
      </xdr:txBody>
    </xdr:sp>
    <xdr:clientData/>
  </xdr:twoCellAnchor>
  <xdr:twoCellAnchor>
    <xdr:from>
      <xdr:col>1</xdr:col>
      <xdr:colOff>169717</xdr:colOff>
      <xdr:row>5</xdr:row>
      <xdr:rowOff>117765</xdr:rowOff>
    </xdr:from>
    <xdr:to>
      <xdr:col>3</xdr:col>
      <xdr:colOff>363681</xdr:colOff>
      <xdr:row>8</xdr:row>
      <xdr:rowOff>17319</xdr:rowOff>
    </xdr:to>
    <xdr:sp macro="" textlink="">
      <xdr:nvSpPr>
        <xdr:cNvPr id="51" name="正方形/長方形 50">
          <a:extLst>
            <a:ext uri="{FF2B5EF4-FFF2-40B4-BE49-F238E27FC236}">
              <a16:creationId xmlns:a16="http://schemas.microsoft.com/office/drawing/2014/main" id="{00000000-0008-0000-0400-000033000000}"/>
            </a:ext>
          </a:extLst>
        </xdr:cNvPr>
        <xdr:cNvSpPr/>
      </xdr:nvSpPr>
      <xdr:spPr bwMode="auto">
        <a:xfrm>
          <a:off x="862444" y="983674"/>
          <a:ext cx="1579419" cy="419100"/>
        </a:xfrm>
        <a:prstGeom prst="rect">
          <a:avLst/>
        </a:prstGeom>
        <a:solidFill>
          <a:schemeClr val="accent5">
            <a:lumMod val="40000"/>
            <a:lumOff val="60000"/>
          </a:schemeClr>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400" b="1">
              <a:solidFill>
                <a:schemeClr val="tx1"/>
              </a:solidFill>
            </a:rPr>
            <a:t>1</a:t>
          </a:r>
          <a:r>
            <a:rPr kumimoji="1" lang="ja-JP" altLang="en-US" sz="1400" b="1">
              <a:solidFill>
                <a:schemeClr val="tx1"/>
              </a:solidFill>
            </a:rPr>
            <a:t>か月目（</a:t>
          </a:r>
          <a:r>
            <a:rPr kumimoji="1" lang="en-US" altLang="ja-JP" sz="1400" b="1">
              <a:solidFill>
                <a:schemeClr val="tx1"/>
              </a:solidFill>
            </a:rPr>
            <a:t>6</a:t>
          </a:r>
          <a:r>
            <a:rPr kumimoji="1" lang="ja-JP" altLang="en-US" sz="1400" b="1">
              <a:solidFill>
                <a:schemeClr val="tx1"/>
              </a:solidFill>
            </a:rPr>
            <a:t>月）</a:t>
          </a:r>
        </a:p>
      </xdr:txBody>
    </xdr:sp>
    <xdr:clientData/>
  </xdr:twoCellAnchor>
  <xdr:twoCellAnchor>
    <xdr:from>
      <xdr:col>0</xdr:col>
      <xdr:colOff>138545</xdr:colOff>
      <xdr:row>121</xdr:row>
      <xdr:rowOff>138546</xdr:rowOff>
    </xdr:from>
    <xdr:to>
      <xdr:col>1</xdr:col>
      <xdr:colOff>173182</xdr:colOff>
      <xdr:row>124</xdr:row>
      <xdr:rowOff>69274</xdr:rowOff>
    </xdr:to>
    <xdr:sp macro="" textlink="">
      <xdr:nvSpPr>
        <xdr:cNvPr id="52" name="正方形/長方形 51">
          <a:extLst>
            <a:ext uri="{FF2B5EF4-FFF2-40B4-BE49-F238E27FC236}">
              <a16:creationId xmlns:a16="http://schemas.microsoft.com/office/drawing/2014/main" id="{00000000-0008-0000-0400-000034000000}"/>
            </a:ext>
          </a:extLst>
        </xdr:cNvPr>
        <xdr:cNvSpPr/>
      </xdr:nvSpPr>
      <xdr:spPr bwMode="auto">
        <a:xfrm>
          <a:off x="138545" y="21093546"/>
          <a:ext cx="727364" cy="450273"/>
        </a:xfrm>
        <a:prstGeom prst="rect">
          <a:avLst/>
        </a:prstGeom>
        <a:solidFill>
          <a:schemeClr val="bg1">
            <a:lumMod val="50000"/>
          </a:schemeClr>
        </a:solid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400" b="1">
              <a:solidFill>
                <a:schemeClr val="bg1">
                  <a:lumMod val="95000"/>
                </a:schemeClr>
              </a:solidFill>
            </a:rPr>
            <a:t>例</a:t>
          </a:r>
        </a:p>
      </xdr:txBody>
    </xdr:sp>
    <xdr:clientData/>
  </xdr:twoCellAnchor>
  <xdr:twoCellAnchor>
    <xdr:from>
      <xdr:col>1</xdr:col>
      <xdr:colOff>259771</xdr:colOff>
      <xdr:row>122</xdr:row>
      <xdr:rowOff>1</xdr:rowOff>
    </xdr:from>
    <xdr:to>
      <xdr:col>3</xdr:col>
      <xdr:colOff>453735</xdr:colOff>
      <xdr:row>124</xdr:row>
      <xdr:rowOff>72738</xdr:rowOff>
    </xdr:to>
    <xdr:sp macro="" textlink="">
      <xdr:nvSpPr>
        <xdr:cNvPr id="53" name="正方形/長方形 52">
          <a:extLst>
            <a:ext uri="{FF2B5EF4-FFF2-40B4-BE49-F238E27FC236}">
              <a16:creationId xmlns:a16="http://schemas.microsoft.com/office/drawing/2014/main" id="{00000000-0008-0000-0400-000035000000}"/>
            </a:ext>
          </a:extLst>
        </xdr:cNvPr>
        <xdr:cNvSpPr/>
      </xdr:nvSpPr>
      <xdr:spPr bwMode="auto">
        <a:xfrm>
          <a:off x="952498" y="21128183"/>
          <a:ext cx="1579419" cy="419100"/>
        </a:xfrm>
        <a:prstGeom prst="rect">
          <a:avLst/>
        </a:prstGeom>
        <a:solidFill>
          <a:schemeClr val="accent5">
            <a:lumMod val="40000"/>
            <a:lumOff val="60000"/>
          </a:schemeClr>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400" b="1">
              <a:solidFill>
                <a:schemeClr val="tx1"/>
              </a:solidFill>
            </a:rPr>
            <a:t>5</a:t>
          </a:r>
          <a:r>
            <a:rPr kumimoji="1" lang="ja-JP" altLang="en-US" sz="1400" b="1">
              <a:solidFill>
                <a:schemeClr val="tx1"/>
              </a:solidFill>
            </a:rPr>
            <a:t>か月目（</a:t>
          </a:r>
          <a:r>
            <a:rPr kumimoji="1" lang="en-US" altLang="ja-JP" sz="1400" b="1">
              <a:solidFill>
                <a:schemeClr val="tx1"/>
              </a:solidFill>
            </a:rPr>
            <a:t>10</a:t>
          </a:r>
          <a:r>
            <a:rPr kumimoji="1" lang="ja-JP" altLang="en-US" sz="1400" b="1">
              <a:solidFill>
                <a:schemeClr val="tx1"/>
              </a:solidFill>
            </a:rPr>
            <a:t>月）</a:t>
          </a:r>
        </a:p>
      </xdr:txBody>
    </xdr:sp>
    <xdr:clientData/>
  </xdr:twoCellAnchor>
  <xdr:twoCellAnchor>
    <xdr:from>
      <xdr:col>8</xdr:col>
      <xdr:colOff>450272</xdr:colOff>
      <xdr:row>46</xdr:row>
      <xdr:rowOff>103909</xdr:rowOff>
    </xdr:from>
    <xdr:to>
      <xdr:col>10</xdr:col>
      <xdr:colOff>502226</xdr:colOff>
      <xdr:row>48</xdr:row>
      <xdr:rowOff>69273</xdr:rowOff>
    </xdr:to>
    <xdr:sp macro="" textlink="">
      <xdr:nvSpPr>
        <xdr:cNvPr id="54" name="正方形/長方形 53">
          <a:extLst>
            <a:ext uri="{FF2B5EF4-FFF2-40B4-BE49-F238E27FC236}">
              <a16:creationId xmlns:a16="http://schemas.microsoft.com/office/drawing/2014/main" id="{00000000-0008-0000-0400-000036000000}"/>
            </a:ext>
          </a:extLst>
        </xdr:cNvPr>
        <xdr:cNvSpPr/>
      </xdr:nvSpPr>
      <xdr:spPr bwMode="auto">
        <a:xfrm>
          <a:off x="5992090" y="8070273"/>
          <a:ext cx="1437409" cy="311727"/>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19</xdr:col>
      <xdr:colOff>627475</xdr:colOff>
      <xdr:row>52</xdr:row>
      <xdr:rowOff>41749</xdr:rowOff>
    </xdr:from>
    <xdr:to>
      <xdr:col>22</xdr:col>
      <xdr:colOff>402339</xdr:colOff>
      <xdr:row>53</xdr:row>
      <xdr:rowOff>162977</xdr:rowOff>
    </xdr:to>
    <xdr:sp macro="" textlink="">
      <xdr:nvSpPr>
        <xdr:cNvPr id="55" name="正方形/長方形 54">
          <a:extLst>
            <a:ext uri="{FF2B5EF4-FFF2-40B4-BE49-F238E27FC236}">
              <a16:creationId xmlns:a16="http://schemas.microsoft.com/office/drawing/2014/main" id="{00000000-0008-0000-0400-000037000000}"/>
            </a:ext>
          </a:extLst>
        </xdr:cNvPr>
        <xdr:cNvSpPr/>
      </xdr:nvSpPr>
      <xdr:spPr bwMode="auto">
        <a:xfrm>
          <a:off x="13789293" y="9047204"/>
          <a:ext cx="1853046" cy="294409"/>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0</xdr:col>
      <xdr:colOff>190501</xdr:colOff>
      <xdr:row>114</xdr:row>
      <xdr:rowOff>103908</xdr:rowOff>
    </xdr:from>
    <xdr:to>
      <xdr:col>2</xdr:col>
      <xdr:colOff>294409</xdr:colOff>
      <xdr:row>116</xdr:row>
      <xdr:rowOff>51954</xdr:rowOff>
    </xdr:to>
    <xdr:sp macro="" textlink="">
      <xdr:nvSpPr>
        <xdr:cNvPr id="56" name="正方形/長方形 55">
          <a:extLst>
            <a:ext uri="{FF2B5EF4-FFF2-40B4-BE49-F238E27FC236}">
              <a16:creationId xmlns:a16="http://schemas.microsoft.com/office/drawing/2014/main" id="{00000000-0008-0000-0400-000038000000}"/>
            </a:ext>
          </a:extLst>
        </xdr:cNvPr>
        <xdr:cNvSpPr/>
      </xdr:nvSpPr>
      <xdr:spPr bwMode="auto">
        <a:xfrm>
          <a:off x="190501" y="19846635"/>
          <a:ext cx="1489363" cy="294410"/>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20</xdr:col>
      <xdr:colOff>138545</xdr:colOff>
      <xdr:row>114</xdr:row>
      <xdr:rowOff>86591</xdr:rowOff>
    </xdr:from>
    <xdr:to>
      <xdr:col>22</xdr:col>
      <xdr:colOff>464127</xdr:colOff>
      <xdr:row>116</xdr:row>
      <xdr:rowOff>65808</xdr:rowOff>
    </xdr:to>
    <xdr:sp macro="" textlink="">
      <xdr:nvSpPr>
        <xdr:cNvPr id="57" name="正方形/長方形 56">
          <a:extLst>
            <a:ext uri="{FF2B5EF4-FFF2-40B4-BE49-F238E27FC236}">
              <a16:creationId xmlns:a16="http://schemas.microsoft.com/office/drawing/2014/main" id="{00000000-0008-0000-0400-000039000000}"/>
            </a:ext>
          </a:extLst>
        </xdr:cNvPr>
        <xdr:cNvSpPr/>
      </xdr:nvSpPr>
      <xdr:spPr bwMode="auto">
        <a:xfrm>
          <a:off x="13993090" y="19829318"/>
          <a:ext cx="1711037" cy="325581"/>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8</xdr:col>
      <xdr:colOff>155864</xdr:colOff>
      <xdr:row>163</xdr:row>
      <xdr:rowOff>138545</xdr:rowOff>
    </xdr:from>
    <xdr:to>
      <xdr:col>10</xdr:col>
      <xdr:colOff>623455</xdr:colOff>
      <xdr:row>165</xdr:row>
      <xdr:rowOff>86590</xdr:rowOff>
    </xdr:to>
    <xdr:sp macro="" textlink="">
      <xdr:nvSpPr>
        <xdr:cNvPr id="58" name="正方形/長方形 57">
          <a:extLst>
            <a:ext uri="{FF2B5EF4-FFF2-40B4-BE49-F238E27FC236}">
              <a16:creationId xmlns:a16="http://schemas.microsoft.com/office/drawing/2014/main" id="{00000000-0008-0000-0400-00003A000000}"/>
            </a:ext>
          </a:extLst>
        </xdr:cNvPr>
        <xdr:cNvSpPr/>
      </xdr:nvSpPr>
      <xdr:spPr bwMode="auto">
        <a:xfrm>
          <a:off x="5697682" y="28367181"/>
          <a:ext cx="1853046" cy="294409"/>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20</xdr:col>
      <xdr:colOff>86591</xdr:colOff>
      <xdr:row>164</xdr:row>
      <xdr:rowOff>69274</xdr:rowOff>
    </xdr:from>
    <xdr:to>
      <xdr:col>22</xdr:col>
      <xdr:colOff>464128</xdr:colOff>
      <xdr:row>166</xdr:row>
      <xdr:rowOff>31172</xdr:rowOff>
    </xdr:to>
    <xdr:sp macro="" textlink="">
      <xdr:nvSpPr>
        <xdr:cNvPr id="59" name="正方形/長方形 58">
          <a:extLst>
            <a:ext uri="{FF2B5EF4-FFF2-40B4-BE49-F238E27FC236}">
              <a16:creationId xmlns:a16="http://schemas.microsoft.com/office/drawing/2014/main" id="{00000000-0008-0000-0400-00003B000000}"/>
            </a:ext>
          </a:extLst>
        </xdr:cNvPr>
        <xdr:cNvSpPr/>
      </xdr:nvSpPr>
      <xdr:spPr bwMode="auto">
        <a:xfrm>
          <a:off x="13941136" y="28471092"/>
          <a:ext cx="1762992" cy="308262"/>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0</xdr:col>
      <xdr:colOff>207818</xdr:colOff>
      <xdr:row>232</xdr:row>
      <xdr:rowOff>138546</xdr:rowOff>
    </xdr:from>
    <xdr:to>
      <xdr:col>1</xdr:col>
      <xdr:colOff>502227</xdr:colOff>
      <xdr:row>234</xdr:row>
      <xdr:rowOff>103910</xdr:rowOff>
    </xdr:to>
    <xdr:sp macro="" textlink="">
      <xdr:nvSpPr>
        <xdr:cNvPr id="60" name="正方形/長方形 59">
          <a:extLst>
            <a:ext uri="{FF2B5EF4-FFF2-40B4-BE49-F238E27FC236}">
              <a16:creationId xmlns:a16="http://schemas.microsoft.com/office/drawing/2014/main" id="{00000000-0008-0000-0400-00003C000000}"/>
            </a:ext>
          </a:extLst>
        </xdr:cNvPr>
        <xdr:cNvSpPr/>
      </xdr:nvSpPr>
      <xdr:spPr bwMode="auto">
        <a:xfrm>
          <a:off x="207818" y="40316728"/>
          <a:ext cx="987136" cy="311727"/>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21</xdr:col>
      <xdr:colOff>117764</xdr:colOff>
      <xdr:row>232</xdr:row>
      <xdr:rowOff>31173</xdr:rowOff>
    </xdr:from>
    <xdr:to>
      <xdr:col>22</xdr:col>
      <xdr:colOff>412173</xdr:colOff>
      <xdr:row>233</xdr:row>
      <xdr:rowOff>169718</xdr:rowOff>
    </xdr:to>
    <xdr:sp macro="" textlink="">
      <xdr:nvSpPr>
        <xdr:cNvPr id="61" name="正方形/長方形 60">
          <a:extLst>
            <a:ext uri="{FF2B5EF4-FFF2-40B4-BE49-F238E27FC236}">
              <a16:creationId xmlns:a16="http://schemas.microsoft.com/office/drawing/2014/main" id="{00000000-0008-0000-0400-00003D000000}"/>
            </a:ext>
          </a:extLst>
        </xdr:cNvPr>
        <xdr:cNvSpPr/>
      </xdr:nvSpPr>
      <xdr:spPr bwMode="auto">
        <a:xfrm>
          <a:off x="14665037" y="40209355"/>
          <a:ext cx="987136" cy="311727"/>
        </a:xfrm>
        <a:prstGeom prst="rect">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サンプル</a:t>
          </a:r>
        </a:p>
      </xdr:txBody>
    </xdr:sp>
    <xdr:clientData/>
  </xdr:twoCellAnchor>
  <xdr:twoCellAnchor>
    <xdr:from>
      <xdr:col>5</xdr:col>
      <xdr:colOff>173183</xdr:colOff>
      <xdr:row>35</xdr:row>
      <xdr:rowOff>51953</xdr:rowOff>
    </xdr:from>
    <xdr:to>
      <xdr:col>6</xdr:col>
      <xdr:colOff>484909</xdr:colOff>
      <xdr:row>37</xdr:row>
      <xdr:rowOff>155863</xdr:rowOff>
    </xdr:to>
    <xdr:sp macro="" textlink="">
      <xdr:nvSpPr>
        <xdr:cNvPr id="62" name="吹き出し: 四角形 61">
          <a:extLst>
            <a:ext uri="{FF2B5EF4-FFF2-40B4-BE49-F238E27FC236}">
              <a16:creationId xmlns:a16="http://schemas.microsoft.com/office/drawing/2014/main" id="{00000000-0008-0000-0400-00003E000000}"/>
            </a:ext>
          </a:extLst>
        </xdr:cNvPr>
        <xdr:cNvSpPr/>
      </xdr:nvSpPr>
      <xdr:spPr bwMode="auto">
        <a:xfrm>
          <a:off x="3636819" y="6113317"/>
          <a:ext cx="1004454" cy="450273"/>
        </a:xfrm>
        <a:prstGeom prst="wedgeRectCallout">
          <a:avLst>
            <a:gd name="adj1" fmla="val -65033"/>
            <a:gd name="adj2" fmla="val 5942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solidFill>
                <a:srgbClr val="0000FF"/>
              </a:solidFill>
            </a:rPr>
            <a:t>企業が立替えた金額</a:t>
          </a:r>
        </a:p>
      </xdr:txBody>
    </xdr:sp>
    <xdr:clientData/>
  </xdr:twoCellAnchor>
  <xdr:twoCellAnchor>
    <xdr:from>
      <xdr:col>7</xdr:col>
      <xdr:colOff>273628</xdr:colOff>
      <xdr:row>34</xdr:row>
      <xdr:rowOff>135081</xdr:rowOff>
    </xdr:from>
    <xdr:to>
      <xdr:col>8</xdr:col>
      <xdr:colOff>585355</xdr:colOff>
      <xdr:row>37</xdr:row>
      <xdr:rowOff>65809</xdr:rowOff>
    </xdr:to>
    <xdr:sp macro="" textlink="">
      <xdr:nvSpPr>
        <xdr:cNvPr id="63" name="吹き出し: 四角形 62">
          <a:extLst>
            <a:ext uri="{FF2B5EF4-FFF2-40B4-BE49-F238E27FC236}">
              <a16:creationId xmlns:a16="http://schemas.microsoft.com/office/drawing/2014/main" id="{00000000-0008-0000-0400-00003F000000}"/>
            </a:ext>
          </a:extLst>
        </xdr:cNvPr>
        <xdr:cNvSpPr/>
      </xdr:nvSpPr>
      <xdr:spPr bwMode="auto">
        <a:xfrm>
          <a:off x="5122719" y="6023263"/>
          <a:ext cx="1004454" cy="450273"/>
        </a:xfrm>
        <a:prstGeom prst="wedgeRectCallout">
          <a:avLst>
            <a:gd name="adj1" fmla="val -77102"/>
            <a:gd name="adj2" fmla="val 70962"/>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solidFill>
                <a:srgbClr val="0000FF"/>
              </a:solidFill>
            </a:rPr>
            <a:t>企業が負担する金額</a:t>
          </a:r>
        </a:p>
      </xdr:txBody>
    </xdr:sp>
    <xdr:clientData/>
  </xdr:twoCellAnchor>
  <xdr:twoCellAnchor>
    <xdr:from>
      <xdr:col>8</xdr:col>
      <xdr:colOff>554182</xdr:colOff>
      <xdr:row>99</xdr:row>
      <xdr:rowOff>17318</xdr:rowOff>
    </xdr:from>
    <xdr:to>
      <xdr:col>10</xdr:col>
      <xdr:colOff>346363</xdr:colOff>
      <xdr:row>101</xdr:row>
      <xdr:rowOff>17318</xdr:rowOff>
    </xdr:to>
    <xdr:sp macro="" textlink="">
      <xdr:nvSpPr>
        <xdr:cNvPr id="64" name="楕円 63">
          <a:extLst>
            <a:ext uri="{FF2B5EF4-FFF2-40B4-BE49-F238E27FC236}">
              <a16:creationId xmlns:a16="http://schemas.microsoft.com/office/drawing/2014/main" id="{00000000-0008-0000-0400-000040000000}"/>
            </a:ext>
          </a:extLst>
        </xdr:cNvPr>
        <xdr:cNvSpPr/>
      </xdr:nvSpPr>
      <xdr:spPr bwMode="auto">
        <a:xfrm>
          <a:off x="6096000" y="17162318"/>
          <a:ext cx="1177636" cy="346364"/>
        </a:xfrm>
        <a:prstGeom prst="ellipse">
          <a:avLst/>
        </a:prstGeom>
        <a:no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450272</xdr:colOff>
      <xdr:row>91</xdr:row>
      <xdr:rowOff>34637</xdr:rowOff>
    </xdr:from>
    <xdr:to>
      <xdr:col>18</xdr:col>
      <xdr:colOff>588818</xdr:colOff>
      <xdr:row>100</xdr:row>
      <xdr:rowOff>86591</xdr:rowOff>
    </xdr:to>
    <xdr:cxnSp macro="">
      <xdr:nvCxnSpPr>
        <xdr:cNvPr id="66" name="直線矢印コネクタ 65">
          <a:extLst>
            <a:ext uri="{FF2B5EF4-FFF2-40B4-BE49-F238E27FC236}">
              <a16:creationId xmlns:a16="http://schemas.microsoft.com/office/drawing/2014/main" id="{00000000-0008-0000-0400-000042000000}"/>
            </a:ext>
          </a:extLst>
        </xdr:cNvPr>
        <xdr:cNvCxnSpPr/>
      </xdr:nvCxnSpPr>
      <xdr:spPr bwMode="auto">
        <a:xfrm flipV="1">
          <a:off x="7377545" y="15794182"/>
          <a:ext cx="5680364" cy="1610591"/>
        </a:xfrm>
        <a:prstGeom prst="straightConnector1">
          <a:avLst/>
        </a:prstGeom>
        <a:ln>
          <a:solidFill>
            <a:srgbClr val="0000FF"/>
          </a:solidFill>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481445</xdr:colOff>
      <xdr:row>97</xdr:row>
      <xdr:rowOff>117764</xdr:rowOff>
    </xdr:from>
    <xdr:to>
      <xdr:col>20</xdr:col>
      <xdr:colOff>273627</xdr:colOff>
      <xdr:row>99</xdr:row>
      <xdr:rowOff>117764</xdr:rowOff>
    </xdr:to>
    <xdr:sp macro="" textlink="">
      <xdr:nvSpPr>
        <xdr:cNvPr id="67" name="楕円 66">
          <a:extLst>
            <a:ext uri="{FF2B5EF4-FFF2-40B4-BE49-F238E27FC236}">
              <a16:creationId xmlns:a16="http://schemas.microsoft.com/office/drawing/2014/main" id="{00000000-0008-0000-0400-000043000000}"/>
            </a:ext>
          </a:extLst>
        </xdr:cNvPr>
        <xdr:cNvSpPr/>
      </xdr:nvSpPr>
      <xdr:spPr bwMode="auto">
        <a:xfrm>
          <a:off x="12950536" y="16916400"/>
          <a:ext cx="1177636" cy="346364"/>
        </a:xfrm>
        <a:prstGeom prst="ellipse">
          <a:avLst/>
        </a:prstGeom>
        <a:noFill/>
        <a:ln w="9525" cap="flat" cmpd="sng" algn="ctr">
          <a:solidFill>
            <a:srgbClr val="0099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86591</xdr:colOff>
      <xdr:row>44</xdr:row>
      <xdr:rowOff>86591</xdr:rowOff>
    </xdr:from>
    <xdr:to>
      <xdr:col>18</xdr:col>
      <xdr:colOff>481445</xdr:colOff>
      <xdr:row>98</xdr:row>
      <xdr:rowOff>117764</xdr:rowOff>
    </xdr:to>
    <xdr:cxnSp macro="">
      <xdr:nvCxnSpPr>
        <xdr:cNvPr id="69" name="直線矢印コネクタ 68">
          <a:extLst>
            <a:ext uri="{FF2B5EF4-FFF2-40B4-BE49-F238E27FC236}">
              <a16:creationId xmlns:a16="http://schemas.microsoft.com/office/drawing/2014/main" id="{00000000-0008-0000-0400-000045000000}"/>
            </a:ext>
          </a:extLst>
        </xdr:cNvPr>
        <xdr:cNvCxnSpPr>
          <a:stCxn id="67" idx="2"/>
        </xdr:cNvCxnSpPr>
      </xdr:nvCxnSpPr>
      <xdr:spPr bwMode="auto">
        <a:xfrm flipH="1" flipV="1">
          <a:off x="5628409" y="7706591"/>
          <a:ext cx="7322127" cy="9382991"/>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val="00990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273628</xdr:colOff>
      <xdr:row>80</xdr:row>
      <xdr:rowOff>65809</xdr:rowOff>
    </xdr:from>
    <xdr:to>
      <xdr:col>6</xdr:col>
      <xdr:colOff>585354</xdr:colOff>
      <xdr:row>82</xdr:row>
      <xdr:rowOff>169718</xdr:rowOff>
    </xdr:to>
    <xdr:sp macro="" textlink="">
      <xdr:nvSpPr>
        <xdr:cNvPr id="71" name="吹き出し: 四角形 70">
          <a:extLst>
            <a:ext uri="{FF2B5EF4-FFF2-40B4-BE49-F238E27FC236}">
              <a16:creationId xmlns:a16="http://schemas.microsoft.com/office/drawing/2014/main" id="{00000000-0008-0000-0400-000047000000}"/>
            </a:ext>
          </a:extLst>
        </xdr:cNvPr>
        <xdr:cNvSpPr/>
      </xdr:nvSpPr>
      <xdr:spPr bwMode="auto">
        <a:xfrm>
          <a:off x="3737264" y="13920354"/>
          <a:ext cx="1004454" cy="450273"/>
        </a:xfrm>
        <a:prstGeom prst="wedgeRectCallout">
          <a:avLst>
            <a:gd name="adj1" fmla="val -20205"/>
            <a:gd name="adj2" fmla="val -102115"/>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solidFill>
                <a:srgbClr val="0000FF"/>
              </a:solidFill>
            </a:rPr>
            <a:t>企業が立替えた金額</a:t>
          </a:r>
        </a:p>
      </xdr:txBody>
    </xdr:sp>
    <xdr:clientData/>
  </xdr:twoCellAnchor>
  <xdr:twoCellAnchor>
    <xdr:from>
      <xdr:col>5</xdr:col>
      <xdr:colOff>294410</xdr:colOff>
      <xdr:row>96</xdr:row>
      <xdr:rowOff>155863</xdr:rowOff>
    </xdr:from>
    <xdr:to>
      <xdr:col>7</xdr:col>
      <xdr:colOff>86591</xdr:colOff>
      <xdr:row>98</xdr:row>
      <xdr:rowOff>155864</xdr:rowOff>
    </xdr:to>
    <xdr:sp macro="" textlink="">
      <xdr:nvSpPr>
        <xdr:cNvPr id="72" name="楕円 71">
          <a:extLst>
            <a:ext uri="{FF2B5EF4-FFF2-40B4-BE49-F238E27FC236}">
              <a16:creationId xmlns:a16="http://schemas.microsoft.com/office/drawing/2014/main" id="{00000000-0008-0000-0400-000048000000}"/>
            </a:ext>
          </a:extLst>
        </xdr:cNvPr>
        <xdr:cNvSpPr/>
      </xdr:nvSpPr>
      <xdr:spPr bwMode="auto">
        <a:xfrm>
          <a:off x="3758046" y="16781318"/>
          <a:ext cx="1177636" cy="346364"/>
        </a:xfrm>
        <a:prstGeom prst="ellipse">
          <a:avLst/>
        </a:prstGeom>
        <a:noFill/>
        <a:ln w="12700" cap="flat" cmpd="sng" algn="ctr">
          <a:solidFill>
            <a:srgbClr val="7030A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311727</xdr:colOff>
      <xdr:row>44</xdr:row>
      <xdr:rowOff>51955</xdr:rowOff>
    </xdr:from>
    <xdr:to>
      <xdr:col>7</xdr:col>
      <xdr:colOff>51955</xdr:colOff>
      <xdr:row>97</xdr:row>
      <xdr:rowOff>51955</xdr:rowOff>
    </xdr:to>
    <xdr:cxnSp macro="">
      <xdr:nvCxnSpPr>
        <xdr:cNvPr id="74" name="直線矢印コネクタ 73">
          <a:extLst>
            <a:ext uri="{FF2B5EF4-FFF2-40B4-BE49-F238E27FC236}">
              <a16:creationId xmlns:a16="http://schemas.microsoft.com/office/drawing/2014/main" id="{00000000-0008-0000-0400-00004A000000}"/>
            </a:ext>
          </a:extLst>
        </xdr:cNvPr>
        <xdr:cNvCxnSpPr/>
      </xdr:nvCxnSpPr>
      <xdr:spPr bwMode="auto">
        <a:xfrm flipH="1" flipV="1">
          <a:off x="4468091" y="7671955"/>
          <a:ext cx="432955" cy="9178636"/>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val="7030A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381000</xdr:colOff>
      <xdr:row>37</xdr:row>
      <xdr:rowOff>51955</xdr:rowOff>
    </xdr:from>
    <xdr:to>
      <xdr:col>10</xdr:col>
      <xdr:colOff>519544</xdr:colOff>
      <xdr:row>44</xdr:row>
      <xdr:rowOff>51955</xdr:rowOff>
    </xdr:to>
    <xdr:sp macro="" textlink="">
      <xdr:nvSpPr>
        <xdr:cNvPr id="76" name="楕円 75">
          <a:extLst>
            <a:ext uri="{FF2B5EF4-FFF2-40B4-BE49-F238E27FC236}">
              <a16:creationId xmlns:a16="http://schemas.microsoft.com/office/drawing/2014/main" id="{00000000-0008-0000-0400-00004C000000}"/>
            </a:ext>
          </a:extLst>
        </xdr:cNvPr>
        <xdr:cNvSpPr/>
      </xdr:nvSpPr>
      <xdr:spPr bwMode="auto">
        <a:xfrm>
          <a:off x="5922818" y="6459682"/>
          <a:ext cx="1523999" cy="1212273"/>
        </a:xfrm>
        <a:prstGeom prst="ellipse">
          <a:avLst/>
        </a:prstGeom>
        <a:noFill/>
        <a:ln w="9525" cap="flat" cmpd="sng" algn="ctr">
          <a:solidFill>
            <a:schemeClr val="accent6">
              <a:lumMod val="75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571500</xdr:colOff>
      <xdr:row>31</xdr:row>
      <xdr:rowOff>69273</xdr:rowOff>
    </xdr:from>
    <xdr:to>
      <xdr:col>13</xdr:col>
      <xdr:colOff>311727</xdr:colOff>
      <xdr:row>40</xdr:row>
      <xdr:rowOff>103909</xdr:rowOff>
    </xdr:to>
    <xdr:cxnSp macro="">
      <xdr:nvCxnSpPr>
        <xdr:cNvPr id="78" name="直線矢印コネクタ 77">
          <a:extLst>
            <a:ext uri="{FF2B5EF4-FFF2-40B4-BE49-F238E27FC236}">
              <a16:creationId xmlns:a16="http://schemas.microsoft.com/office/drawing/2014/main" id="{00000000-0008-0000-0400-00004E000000}"/>
            </a:ext>
          </a:extLst>
        </xdr:cNvPr>
        <xdr:cNvCxnSpPr/>
      </xdr:nvCxnSpPr>
      <xdr:spPr bwMode="auto">
        <a:xfrm flipV="1">
          <a:off x="7498773" y="5437909"/>
          <a:ext cx="1818409" cy="1593273"/>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chemeClr val="accent6">
              <a:lumMod val="75000"/>
            </a:schemeClr>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291008</xdr:colOff>
      <xdr:row>31</xdr:row>
      <xdr:rowOff>117208</xdr:rowOff>
    </xdr:from>
    <xdr:to>
      <xdr:col>22</xdr:col>
      <xdr:colOff>81644</xdr:colOff>
      <xdr:row>43</xdr:row>
      <xdr:rowOff>13608</xdr:rowOff>
    </xdr:to>
    <xdr:sp macro="" textlink="">
      <xdr:nvSpPr>
        <xdr:cNvPr id="79" name="正方形/長方形 78">
          <a:extLst>
            <a:ext uri="{FF2B5EF4-FFF2-40B4-BE49-F238E27FC236}">
              <a16:creationId xmlns:a16="http://schemas.microsoft.com/office/drawing/2014/main" id="{00000000-0008-0000-0400-00004F000000}"/>
            </a:ext>
          </a:extLst>
        </xdr:cNvPr>
        <xdr:cNvSpPr/>
      </xdr:nvSpPr>
      <xdr:spPr bwMode="auto">
        <a:xfrm>
          <a:off x="11176722" y="5600887"/>
          <a:ext cx="3872779" cy="2019114"/>
        </a:xfrm>
        <a:prstGeom prst="rect">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プラスの場合：</a:t>
          </a:r>
          <a:r>
            <a:rPr kumimoji="1" lang="en-US" altLang="ja-JP" sz="1100"/>
            <a:t>AOTS</a:t>
          </a:r>
          <a:r>
            <a:rPr kumimoji="1" lang="ja-JP" altLang="en-US" sz="1100"/>
            <a:t>から企業への支払いが発生しています。</a:t>
          </a:r>
          <a:endParaRPr kumimoji="1" lang="en-US" altLang="ja-JP" sz="1100"/>
        </a:p>
        <a:p>
          <a:pPr algn="l"/>
          <a:r>
            <a:rPr kumimoji="1" lang="ja-JP" altLang="en-US" sz="1100"/>
            <a:t>マイナスの場合：企業から</a:t>
          </a:r>
          <a:r>
            <a:rPr kumimoji="1" lang="en-US" altLang="ja-JP" sz="1100"/>
            <a:t>AOTS</a:t>
          </a:r>
          <a:r>
            <a:rPr kumimoji="1" lang="ja-JP" altLang="en-US" sz="1100"/>
            <a:t>へお支払い頂きます。</a:t>
          </a:r>
          <a:endParaRPr kumimoji="1" lang="en-US" altLang="ja-JP" sz="1100"/>
        </a:p>
        <a:p>
          <a:pPr algn="l"/>
          <a:endParaRPr kumimoji="1" lang="en-US" altLang="ja-JP" sz="1100"/>
        </a:p>
        <a:p>
          <a:pPr algn="l"/>
          <a:r>
            <a:rPr kumimoji="1" lang="ja-JP" altLang="en-US" sz="1100"/>
            <a:t>ただし、マイナス額は、翌月に繰越しますので、都度、お支払い頂く必要はありません。</a:t>
          </a:r>
          <a:endParaRPr kumimoji="1" lang="en-US" altLang="ja-JP" sz="1100"/>
        </a:p>
        <a:p>
          <a:pPr algn="l"/>
          <a:r>
            <a:rPr kumimoji="1" lang="ja-JP" altLang="en-US" sz="1100"/>
            <a:t>最終精算月に合計精算額がマイナスの場合は、受入企業にその金額をお支払い頂きます。</a:t>
          </a:r>
          <a:endParaRPr kumimoji="1" lang="en-US" altLang="ja-JP" sz="1100"/>
        </a:p>
        <a:p>
          <a:pPr algn="l"/>
          <a:endParaRPr kumimoji="1" lang="ja-JP" altLang="en-US" sz="1100"/>
        </a:p>
      </xdr:txBody>
    </xdr:sp>
    <xdr:clientData/>
  </xdr:twoCellAnchor>
  <xdr:twoCellAnchor>
    <xdr:from>
      <xdr:col>20</xdr:col>
      <xdr:colOff>367393</xdr:colOff>
      <xdr:row>94</xdr:row>
      <xdr:rowOff>163285</xdr:rowOff>
    </xdr:from>
    <xdr:to>
      <xdr:col>22</xdr:col>
      <xdr:colOff>530679</xdr:colOff>
      <xdr:row>98</xdr:row>
      <xdr:rowOff>40821</xdr:rowOff>
    </xdr:to>
    <xdr:sp macro="" textlink="">
      <xdr:nvSpPr>
        <xdr:cNvPr id="87" name="吹き出し: 四角形 86">
          <a:extLst>
            <a:ext uri="{FF2B5EF4-FFF2-40B4-BE49-F238E27FC236}">
              <a16:creationId xmlns:a16="http://schemas.microsoft.com/office/drawing/2014/main" id="{00000000-0008-0000-0400-000057000000}"/>
            </a:ext>
          </a:extLst>
        </xdr:cNvPr>
        <xdr:cNvSpPr/>
      </xdr:nvSpPr>
      <xdr:spPr bwMode="auto">
        <a:xfrm>
          <a:off x="13974536" y="16791214"/>
          <a:ext cx="1524000" cy="585107"/>
        </a:xfrm>
        <a:prstGeom prst="wedgeRectCallout">
          <a:avLst>
            <a:gd name="adj1" fmla="val -69524"/>
            <a:gd name="adj2" fmla="val -87250"/>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solidFill>
                <a:srgbClr val="0000FF"/>
              </a:solidFill>
            </a:rPr>
            <a:t>研修実施分担金は来日月（</a:t>
          </a:r>
          <a:r>
            <a:rPr kumimoji="1" lang="en-US" altLang="ja-JP" sz="1100">
              <a:solidFill>
                <a:srgbClr val="0000FF"/>
              </a:solidFill>
            </a:rPr>
            <a:t>1</a:t>
          </a:r>
          <a:r>
            <a:rPr kumimoji="1" lang="ja-JP" altLang="en-US" sz="1100">
              <a:solidFill>
                <a:srgbClr val="0000FF"/>
              </a:solidFill>
            </a:rPr>
            <a:t>か月目）に請求いたします。</a:t>
          </a:r>
        </a:p>
      </xdr:txBody>
    </xdr:sp>
    <xdr:clientData/>
  </xdr:twoCellAnchor>
  <xdr:twoCellAnchor>
    <xdr:from>
      <xdr:col>19</xdr:col>
      <xdr:colOff>217714</xdr:colOff>
      <xdr:row>210</xdr:row>
      <xdr:rowOff>13609</xdr:rowOff>
    </xdr:from>
    <xdr:to>
      <xdr:col>22</xdr:col>
      <xdr:colOff>272142</xdr:colOff>
      <xdr:row>214</xdr:row>
      <xdr:rowOff>136072</xdr:rowOff>
    </xdr:to>
    <xdr:sp macro="" textlink="">
      <xdr:nvSpPr>
        <xdr:cNvPr id="88" name="吹き出し: 四角形 87">
          <a:extLst>
            <a:ext uri="{FF2B5EF4-FFF2-40B4-BE49-F238E27FC236}">
              <a16:creationId xmlns:a16="http://schemas.microsoft.com/office/drawing/2014/main" id="{00000000-0008-0000-0400-000058000000}"/>
            </a:ext>
          </a:extLst>
        </xdr:cNvPr>
        <xdr:cNvSpPr/>
      </xdr:nvSpPr>
      <xdr:spPr bwMode="auto">
        <a:xfrm>
          <a:off x="13144500" y="37161109"/>
          <a:ext cx="2095499" cy="830034"/>
        </a:xfrm>
        <a:prstGeom prst="wedgeRectCallout">
          <a:avLst>
            <a:gd name="adj1" fmla="val -61569"/>
            <a:gd name="adj2" fmla="val -6281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solidFill>
                <a:srgbClr val="0000FF"/>
              </a:solidFill>
            </a:rPr>
            <a:t>研修実施分担金は来日月（</a:t>
          </a:r>
          <a:r>
            <a:rPr kumimoji="1" lang="en-US" altLang="ja-JP" sz="1100">
              <a:solidFill>
                <a:srgbClr val="0000FF"/>
              </a:solidFill>
            </a:rPr>
            <a:t>1</a:t>
          </a:r>
          <a:r>
            <a:rPr kumimoji="1" lang="ja-JP" altLang="en-US" sz="1100">
              <a:solidFill>
                <a:srgbClr val="0000FF"/>
              </a:solidFill>
            </a:rPr>
            <a:t>か月目）に請求済みのため、</a:t>
          </a:r>
          <a:endParaRPr kumimoji="1" lang="en-US" altLang="ja-JP" sz="1100">
            <a:solidFill>
              <a:srgbClr val="0000FF"/>
            </a:solidFill>
          </a:endParaRPr>
        </a:p>
        <a:p>
          <a:pPr algn="l"/>
          <a:r>
            <a:rPr kumimoji="1" lang="en-US" altLang="ja-JP" sz="1100">
              <a:solidFill>
                <a:srgbClr val="0000FF"/>
              </a:solidFill>
            </a:rPr>
            <a:t>2</a:t>
          </a:r>
          <a:r>
            <a:rPr kumimoji="1" lang="ja-JP" altLang="en-US" sz="1100">
              <a:solidFill>
                <a:srgbClr val="0000FF"/>
              </a:solidFill>
            </a:rPr>
            <a:t>か月目からは、毎月の受入分担金のみ発生します。</a:t>
          </a:r>
        </a:p>
      </xdr:txBody>
    </xdr:sp>
    <xdr:clientData/>
  </xdr:twoCellAnchor>
  <xdr:twoCellAnchor>
    <xdr:from>
      <xdr:col>20</xdr:col>
      <xdr:colOff>367392</xdr:colOff>
      <xdr:row>149</xdr:row>
      <xdr:rowOff>149678</xdr:rowOff>
    </xdr:from>
    <xdr:to>
      <xdr:col>22</xdr:col>
      <xdr:colOff>159574</xdr:colOff>
      <xdr:row>151</xdr:row>
      <xdr:rowOff>149679</xdr:rowOff>
    </xdr:to>
    <xdr:sp macro="" textlink="">
      <xdr:nvSpPr>
        <xdr:cNvPr id="90" name="楕円 89">
          <a:extLst>
            <a:ext uri="{FF2B5EF4-FFF2-40B4-BE49-F238E27FC236}">
              <a16:creationId xmlns:a16="http://schemas.microsoft.com/office/drawing/2014/main" id="{00000000-0008-0000-0400-00005A000000}"/>
            </a:ext>
          </a:extLst>
        </xdr:cNvPr>
        <xdr:cNvSpPr/>
      </xdr:nvSpPr>
      <xdr:spPr bwMode="auto">
        <a:xfrm>
          <a:off x="13974535" y="26506714"/>
          <a:ext cx="1152896" cy="353786"/>
        </a:xfrm>
        <a:prstGeom prst="ellipse">
          <a:avLst/>
        </a:prstGeom>
        <a:noFill/>
        <a:ln w="9525" cap="flat" cmpd="sng" algn="ctr">
          <a:solidFill>
            <a:schemeClr val="tx1">
              <a:lumMod val="50000"/>
              <a:lumOff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429800</xdr:colOff>
      <xdr:row>49</xdr:row>
      <xdr:rowOff>119930</xdr:rowOff>
    </xdr:from>
    <xdr:to>
      <xdr:col>6</xdr:col>
      <xdr:colOff>231321</xdr:colOff>
      <xdr:row>53</xdr:row>
      <xdr:rowOff>95251</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bwMode="auto">
        <a:xfrm>
          <a:off x="429800" y="8787680"/>
          <a:ext cx="3883664" cy="682892"/>
        </a:xfrm>
        <a:prstGeom prst="rect">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補足：</a:t>
          </a:r>
          <a:endParaRPr kumimoji="1" lang="en-US" altLang="ja-JP" sz="1100">
            <a:solidFill>
              <a:sysClr val="windowText" lastClr="000000"/>
            </a:solidFill>
          </a:endParaRPr>
        </a:p>
        <a:p>
          <a:pPr algn="l"/>
          <a:r>
            <a:rPr kumimoji="1" lang="ja-JP" altLang="en-US" sz="1100">
              <a:solidFill>
                <a:sysClr val="windowText" lastClr="000000"/>
              </a:solidFill>
            </a:rPr>
            <a:t>研修生を</a:t>
          </a:r>
          <a:r>
            <a:rPr kumimoji="1" lang="en-US" altLang="ja-JP" sz="1100">
              <a:solidFill>
                <a:sysClr val="windowText" lastClr="000000"/>
              </a:solidFill>
            </a:rPr>
            <a:t>2</a:t>
          </a:r>
          <a:r>
            <a:rPr kumimoji="1" lang="ja-JP" altLang="en-US" sz="1100">
              <a:solidFill>
                <a:sysClr val="windowText" lastClr="000000"/>
              </a:solidFill>
            </a:rPr>
            <a:t>名以上受入ている場合は、合算額が表示されます。</a:t>
          </a:r>
        </a:p>
      </xdr:txBody>
    </xdr:sp>
    <xdr:clientData/>
  </xdr:twoCellAnchor>
  <xdr:twoCellAnchor>
    <xdr:from>
      <xdr:col>6</xdr:col>
      <xdr:colOff>639537</xdr:colOff>
      <xdr:row>65</xdr:row>
      <xdr:rowOff>163285</xdr:rowOff>
    </xdr:from>
    <xdr:to>
      <xdr:col>10</xdr:col>
      <xdr:colOff>585108</xdr:colOff>
      <xdr:row>70</xdr:row>
      <xdr:rowOff>54429</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bwMode="auto">
        <a:xfrm>
          <a:off x="4721680" y="11661321"/>
          <a:ext cx="2666999" cy="775608"/>
        </a:xfrm>
        <a:prstGeom prst="rect">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補足：</a:t>
          </a:r>
          <a:endParaRPr kumimoji="1" lang="en-US" altLang="ja-JP" sz="1100">
            <a:solidFill>
              <a:sysClr val="windowText" lastClr="000000"/>
            </a:solidFill>
          </a:endParaRPr>
        </a:p>
        <a:p>
          <a:pPr algn="l"/>
          <a:r>
            <a:rPr kumimoji="1" lang="ja-JP" altLang="en-US" sz="1100">
              <a:solidFill>
                <a:sysClr val="windowText" lastClr="000000"/>
              </a:solidFill>
            </a:rPr>
            <a:t>研修生を</a:t>
          </a:r>
          <a:r>
            <a:rPr kumimoji="1" lang="en-US" altLang="ja-JP" sz="1100">
              <a:solidFill>
                <a:sysClr val="windowText" lastClr="000000"/>
              </a:solidFill>
            </a:rPr>
            <a:t>2</a:t>
          </a:r>
          <a:r>
            <a:rPr kumimoji="1" lang="ja-JP" altLang="en-US" sz="1100">
              <a:solidFill>
                <a:sysClr val="windowText" lastClr="000000"/>
              </a:solidFill>
            </a:rPr>
            <a:t>名以上受入いてる場合、研修生個人別と合算のシートが送付されます。</a:t>
          </a:r>
        </a:p>
      </xdr:txBody>
    </xdr:sp>
    <xdr:clientData/>
  </xdr:twoCellAnchor>
  <xdr:twoCellAnchor>
    <xdr:from>
      <xdr:col>17</xdr:col>
      <xdr:colOff>601438</xdr:colOff>
      <xdr:row>75</xdr:row>
      <xdr:rowOff>138792</xdr:rowOff>
    </xdr:from>
    <xdr:to>
      <xdr:col>21</xdr:col>
      <xdr:colOff>547008</xdr:colOff>
      <xdr:row>80</xdr:row>
      <xdr:rowOff>29935</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bwMode="auto">
        <a:xfrm>
          <a:off x="12167509" y="13405756"/>
          <a:ext cx="2666999" cy="775608"/>
        </a:xfrm>
        <a:prstGeom prst="rect">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補足：</a:t>
          </a:r>
          <a:endParaRPr kumimoji="1" lang="en-US" altLang="ja-JP" sz="1100">
            <a:solidFill>
              <a:sysClr val="windowText" lastClr="000000"/>
            </a:solidFill>
          </a:endParaRPr>
        </a:p>
        <a:p>
          <a:pPr algn="l"/>
          <a:r>
            <a:rPr kumimoji="1" lang="ja-JP" altLang="en-US" sz="1100">
              <a:solidFill>
                <a:sysClr val="windowText" lastClr="000000"/>
              </a:solidFill>
            </a:rPr>
            <a:t>研修生を</a:t>
          </a:r>
          <a:r>
            <a:rPr kumimoji="1" lang="en-US" altLang="ja-JP" sz="1100">
              <a:solidFill>
                <a:sysClr val="windowText" lastClr="000000"/>
              </a:solidFill>
            </a:rPr>
            <a:t>2</a:t>
          </a:r>
          <a:r>
            <a:rPr kumimoji="1" lang="ja-JP" altLang="en-US" sz="1100">
              <a:solidFill>
                <a:sysClr val="windowText" lastClr="000000"/>
              </a:solidFill>
            </a:rPr>
            <a:t>名以上受入いてる場合、研修生個人別と合算のシートが送付されます。</a:t>
          </a:r>
        </a:p>
      </xdr:txBody>
    </xdr:sp>
    <xdr:clientData/>
  </xdr:twoCellAnchor>
  <xdr:twoCellAnchor>
    <xdr:from>
      <xdr:col>17</xdr:col>
      <xdr:colOff>272143</xdr:colOff>
      <xdr:row>154</xdr:row>
      <xdr:rowOff>149677</xdr:rowOff>
    </xdr:from>
    <xdr:to>
      <xdr:col>22</xdr:col>
      <xdr:colOff>340179</xdr:colOff>
      <xdr:row>161</xdr:row>
      <xdr:rowOff>122464</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bwMode="auto">
        <a:xfrm>
          <a:off x="11838214" y="27391177"/>
          <a:ext cx="3469822" cy="1211037"/>
        </a:xfrm>
        <a:prstGeom prst="rect">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プラスになった月から、</a:t>
          </a:r>
          <a:r>
            <a:rPr kumimoji="1" lang="en-US" altLang="ja-JP" sz="1100"/>
            <a:t>AOTS</a:t>
          </a:r>
          <a:r>
            <a:rPr kumimoji="1" lang="ja-JP" altLang="en-US" sz="1100"/>
            <a:t>から企業への支払いが始まります。</a:t>
          </a:r>
          <a:endParaRPr kumimoji="1" lang="en-US" altLang="ja-JP" sz="1100"/>
        </a:p>
        <a:p>
          <a:pPr algn="l"/>
          <a:r>
            <a:rPr kumimoji="1" lang="ja-JP" altLang="en-US" sz="1100"/>
            <a:t>最終月まで、マイナスの場合は、受入企業にその金額をお支払い頂きます。</a:t>
          </a:r>
          <a:endParaRPr kumimoji="1" lang="en-US" altLang="ja-JP" sz="1100"/>
        </a:p>
        <a:p>
          <a:pPr algn="l"/>
          <a:endParaRPr kumimoji="1" lang="ja-JP" altLang="en-US" sz="1100"/>
        </a:p>
      </xdr:txBody>
    </xdr:sp>
    <xdr:clientData/>
  </xdr:twoCellAnchor>
  <xdr:twoCellAnchor>
    <xdr:from>
      <xdr:col>8</xdr:col>
      <xdr:colOff>551090</xdr:colOff>
      <xdr:row>154</xdr:row>
      <xdr:rowOff>137618</xdr:rowOff>
    </xdr:from>
    <xdr:to>
      <xdr:col>11</xdr:col>
      <xdr:colOff>9276</xdr:colOff>
      <xdr:row>161</xdr:row>
      <xdr:rowOff>137618</xdr:rowOff>
    </xdr:to>
    <xdr:sp macro="" textlink="">
      <xdr:nvSpPr>
        <xdr:cNvPr id="97" name="楕円 96">
          <a:extLst>
            <a:ext uri="{FF2B5EF4-FFF2-40B4-BE49-F238E27FC236}">
              <a16:creationId xmlns:a16="http://schemas.microsoft.com/office/drawing/2014/main" id="{00000000-0008-0000-0400-000061000000}"/>
            </a:ext>
          </a:extLst>
        </xdr:cNvPr>
        <xdr:cNvSpPr/>
      </xdr:nvSpPr>
      <xdr:spPr bwMode="auto">
        <a:xfrm>
          <a:off x="5993947" y="27379118"/>
          <a:ext cx="1499258" cy="1238250"/>
        </a:xfrm>
        <a:prstGeom prst="ellipse">
          <a:avLst/>
        </a:prstGeom>
        <a:noFill/>
        <a:ln w="9525" cap="flat" cmpd="sng" algn="ctr">
          <a:solidFill>
            <a:schemeClr val="accent6">
              <a:lumMod val="75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61232</xdr:colOff>
      <xdr:row>153</xdr:row>
      <xdr:rowOff>40822</xdr:rowOff>
    </xdr:from>
    <xdr:to>
      <xdr:col>13</xdr:col>
      <xdr:colOff>340178</xdr:colOff>
      <xdr:row>158</xdr:row>
      <xdr:rowOff>12679</xdr:rowOff>
    </xdr:to>
    <xdr:cxnSp macro="">
      <xdr:nvCxnSpPr>
        <xdr:cNvPr id="98" name="直線矢印コネクタ 97">
          <a:extLst>
            <a:ext uri="{FF2B5EF4-FFF2-40B4-BE49-F238E27FC236}">
              <a16:creationId xmlns:a16="http://schemas.microsoft.com/office/drawing/2014/main" id="{00000000-0008-0000-0400-000062000000}"/>
            </a:ext>
          </a:extLst>
        </xdr:cNvPr>
        <xdr:cNvCxnSpPr/>
      </xdr:nvCxnSpPr>
      <xdr:spPr bwMode="auto">
        <a:xfrm flipV="1">
          <a:off x="7545161" y="27105429"/>
          <a:ext cx="1639660" cy="856321"/>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chemeClr val="accent6">
              <a:lumMod val="75000"/>
            </a:schemeClr>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476250</xdr:colOff>
      <xdr:row>150</xdr:row>
      <xdr:rowOff>163285</xdr:rowOff>
    </xdr:from>
    <xdr:to>
      <xdr:col>20</xdr:col>
      <xdr:colOff>353786</xdr:colOff>
      <xdr:row>152</xdr:row>
      <xdr:rowOff>95250</xdr:rowOff>
    </xdr:to>
    <xdr:cxnSp macro="">
      <xdr:nvCxnSpPr>
        <xdr:cNvPr id="101" name="直線矢印コネクタ 100">
          <a:extLst>
            <a:ext uri="{FF2B5EF4-FFF2-40B4-BE49-F238E27FC236}">
              <a16:creationId xmlns:a16="http://schemas.microsoft.com/office/drawing/2014/main" id="{00000000-0008-0000-0400-000065000000}"/>
            </a:ext>
          </a:extLst>
        </xdr:cNvPr>
        <xdr:cNvCxnSpPr/>
      </xdr:nvCxnSpPr>
      <xdr:spPr bwMode="auto">
        <a:xfrm flipH="1">
          <a:off x="11361964" y="26697214"/>
          <a:ext cx="2598965" cy="28575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370113</xdr:colOff>
      <xdr:row>152</xdr:row>
      <xdr:rowOff>2721</xdr:rowOff>
    </xdr:from>
    <xdr:to>
      <xdr:col>22</xdr:col>
      <xdr:colOff>162295</xdr:colOff>
      <xdr:row>154</xdr:row>
      <xdr:rowOff>2721</xdr:rowOff>
    </xdr:to>
    <xdr:sp macro="" textlink="">
      <xdr:nvSpPr>
        <xdr:cNvPr id="102" name="楕円 101">
          <a:extLst>
            <a:ext uri="{FF2B5EF4-FFF2-40B4-BE49-F238E27FC236}">
              <a16:creationId xmlns:a16="http://schemas.microsoft.com/office/drawing/2014/main" id="{00000000-0008-0000-0400-000066000000}"/>
            </a:ext>
          </a:extLst>
        </xdr:cNvPr>
        <xdr:cNvSpPr/>
      </xdr:nvSpPr>
      <xdr:spPr bwMode="auto">
        <a:xfrm>
          <a:off x="13977256" y="26890435"/>
          <a:ext cx="1152896" cy="353786"/>
        </a:xfrm>
        <a:prstGeom prst="ellipse">
          <a:avLst/>
        </a:prstGeom>
        <a:noFill/>
        <a:ln w="9525" cap="flat" cmpd="sng" algn="ctr">
          <a:solidFill>
            <a:srgbClr val="0099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256618</xdr:colOff>
      <xdr:row>1</xdr:row>
      <xdr:rowOff>128589</xdr:rowOff>
    </xdr:from>
    <xdr:to>
      <xdr:col>15</xdr:col>
      <xdr:colOff>58139</xdr:colOff>
      <xdr:row>5</xdr:row>
      <xdr:rowOff>103910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bwMode="auto">
        <a:xfrm>
          <a:off x="6491163" y="301771"/>
          <a:ext cx="3957885" cy="668048"/>
        </a:xfrm>
        <a:prstGeom prst="rect">
          <a:avLst/>
        </a:prstGeom>
        <a:solidFill>
          <a:schemeClr val="bg1">
            <a:lumMod val="8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ysClr val="windowText" lastClr="000000"/>
              </a:solidFill>
            </a:rPr>
            <a:t>補足：</a:t>
          </a:r>
          <a:endParaRPr kumimoji="1" lang="en-US" altLang="ja-JP" sz="1100">
            <a:solidFill>
              <a:sysClr val="windowText" lastClr="000000"/>
            </a:solidFill>
          </a:endParaRPr>
        </a:p>
        <a:p>
          <a:pPr algn="l"/>
          <a:r>
            <a:rPr kumimoji="1" lang="ja-JP" altLang="en-US" sz="1100">
              <a:solidFill>
                <a:sysClr val="windowText" lastClr="000000"/>
              </a:solidFill>
            </a:rPr>
            <a:t>研修生を</a:t>
          </a:r>
          <a:r>
            <a:rPr kumimoji="1" lang="en-US" altLang="ja-JP" sz="1100">
              <a:solidFill>
                <a:sysClr val="windowText" lastClr="000000"/>
              </a:solidFill>
            </a:rPr>
            <a:t>2</a:t>
          </a:r>
          <a:r>
            <a:rPr kumimoji="1" lang="ja-JP" altLang="en-US" sz="1100">
              <a:solidFill>
                <a:sysClr val="windowText" lastClr="000000"/>
              </a:solidFill>
            </a:rPr>
            <a:t>名以上受け入れている場合は、合算額が表示されます。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D78"/>
  <sheetViews>
    <sheetView showGridLines="0" tabSelected="1" view="pageBreakPreview" zoomScale="85" zoomScaleNormal="70" zoomScaleSheetLayoutView="85" workbookViewId="0">
      <selection activeCell="H16" sqref="H16"/>
    </sheetView>
  </sheetViews>
  <sheetFormatPr defaultColWidth="9" defaultRowHeight="13.5" customHeight="1"/>
  <cols>
    <col min="1" max="2" width="5.6640625" style="155" customWidth="1"/>
    <col min="3" max="3" width="6" style="155" customWidth="1"/>
    <col min="4" max="4" width="3.109375" style="155" customWidth="1"/>
    <col min="5" max="5" width="6.6640625" style="155" customWidth="1"/>
    <col min="6" max="6" width="8.6640625" style="155" customWidth="1"/>
    <col min="7" max="7" width="12.77734375" style="155" customWidth="1"/>
    <col min="8" max="9" width="8.6640625" style="155" customWidth="1"/>
    <col min="10" max="10" width="15.109375" style="155" customWidth="1"/>
    <col min="11" max="11" width="8.6640625" style="155" customWidth="1"/>
    <col min="12" max="12" width="10.44140625" style="155" customWidth="1"/>
    <col min="13" max="13" width="8.6640625" style="155" customWidth="1"/>
    <col min="14" max="14" width="11.44140625" style="155" customWidth="1"/>
    <col min="15" max="15" width="9.109375" style="155" customWidth="1"/>
    <col min="16" max="16" width="10.21875" style="155" customWidth="1"/>
    <col min="17" max="17" width="15.6640625" style="468" customWidth="1"/>
    <col min="18" max="18" width="4.77734375" style="468" customWidth="1"/>
    <col min="19" max="19" width="10.6640625" style="468" customWidth="1"/>
    <col min="20" max="20" width="4.21875" style="468" customWidth="1"/>
    <col min="21" max="21" width="12.6640625" style="468" customWidth="1"/>
    <col min="22" max="22" width="10.6640625" style="468" customWidth="1"/>
    <col min="23" max="23" width="13.6640625" style="468" customWidth="1"/>
    <col min="24" max="24" width="11.6640625" style="468" customWidth="1"/>
    <col min="25" max="25" width="15.21875" style="468" customWidth="1"/>
    <col min="26" max="26" width="10.44140625" style="468" customWidth="1"/>
    <col min="27" max="27" width="4.44140625" style="155" customWidth="1"/>
    <col min="28" max="28" width="15.88671875" style="155" customWidth="1"/>
    <col min="29" max="29" width="13.77734375" style="155" bestFit="1" customWidth="1"/>
    <col min="30" max="30" width="9" style="155" customWidth="1"/>
    <col min="31" max="31" width="18.21875" style="155" customWidth="1"/>
    <col min="32" max="32" width="22.88671875" style="155" customWidth="1"/>
    <col min="33" max="16384" width="9" style="155"/>
  </cols>
  <sheetData>
    <row r="1" spans="1:26" ht="20.100000000000001" customHeight="1">
      <c r="A1" s="154" t="s">
        <v>234</v>
      </c>
      <c r="Q1" s="155"/>
      <c r="R1" s="155"/>
      <c r="S1" s="155"/>
      <c r="T1" s="155"/>
      <c r="U1" s="155"/>
      <c r="V1" s="155"/>
      <c r="W1" s="155"/>
      <c r="X1" s="155"/>
      <c r="Y1" s="155"/>
      <c r="Z1" s="155"/>
    </row>
    <row r="2" spans="1:26" ht="11.55" customHeight="1">
      <c r="Q2" s="155"/>
      <c r="R2" s="155"/>
      <c r="S2" s="155"/>
      <c r="T2" s="155"/>
      <c r="U2" s="155"/>
      <c r="V2" s="155"/>
      <c r="W2" s="155"/>
      <c r="X2" s="155"/>
      <c r="Y2" s="155"/>
      <c r="Z2" s="155"/>
    </row>
    <row r="3" spans="1:26" ht="18.75" customHeight="1">
      <c r="A3" s="154" t="s">
        <v>216</v>
      </c>
      <c r="E3" s="152"/>
      <c r="F3" s="156" t="s">
        <v>217</v>
      </c>
      <c r="G3" s="152" t="str">
        <f>"("&amp;'6W計算シート'!B2&amp;")"</f>
        <v>(6W)</v>
      </c>
      <c r="L3" s="157" t="s">
        <v>220</v>
      </c>
      <c r="M3" s="745"/>
      <c r="N3" s="745"/>
      <c r="Q3" s="441" t="s">
        <v>174</v>
      </c>
      <c r="R3" s="155"/>
      <c r="S3" s="155"/>
      <c r="T3" s="155"/>
      <c r="U3" s="155"/>
      <c r="V3" s="155"/>
      <c r="W3" s="155"/>
      <c r="X3" s="155"/>
      <c r="Y3" s="155"/>
      <c r="Z3" s="155"/>
    </row>
    <row r="4" spans="1:26" ht="18.75" customHeight="1">
      <c r="A4" s="158"/>
      <c r="Q4" s="155"/>
      <c r="R4" s="155"/>
      <c r="S4" s="155"/>
      <c r="T4" s="155"/>
      <c r="U4" s="155"/>
      <c r="V4" s="155"/>
      <c r="W4" s="155"/>
      <c r="X4" s="155"/>
      <c r="Y4" s="155"/>
      <c r="Z4" s="155"/>
    </row>
    <row r="5" spans="1:26" ht="18.75" customHeight="1">
      <c r="A5" s="166" t="s">
        <v>121</v>
      </c>
      <c r="B5" s="155" t="s">
        <v>122</v>
      </c>
      <c r="F5" s="799"/>
      <c r="G5" s="799"/>
      <c r="H5" s="799"/>
      <c r="I5" s="799"/>
      <c r="Q5" s="442"/>
      <c r="R5" s="443" t="s">
        <v>175</v>
      </c>
      <c r="S5" s="444"/>
      <c r="T5" s="443" t="s">
        <v>176</v>
      </c>
      <c r="U5" s="445"/>
      <c r="V5" s="444"/>
      <c r="W5" s="446" t="s">
        <v>177</v>
      </c>
      <c r="X5" s="443" t="s">
        <v>178</v>
      </c>
      <c r="Y5" s="445"/>
      <c r="Z5" s="444"/>
    </row>
    <row r="6" spans="1:26" ht="18.75" customHeight="1">
      <c r="A6" s="159"/>
      <c r="Q6" s="447" t="s">
        <v>179</v>
      </c>
      <c r="R6" s="448" t="s">
        <v>180</v>
      </c>
      <c r="S6" s="449"/>
      <c r="T6" s="448" t="s">
        <v>181</v>
      </c>
      <c r="U6" s="450"/>
      <c r="V6" s="449"/>
      <c r="W6" s="451" t="str">
        <f>J26</f>
        <v>補助対象外</v>
      </c>
      <c r="X6" s="448" t="s">
        <v>182</v>
      </c>
      <c r="Y6" s="450"/>
      <c r="Z6" s="452"/>
    </row>
    <row r="7" spans="1:26" ht="18.75" customHeight="1">
      <c r="A7" s="166" t="s">
        <v>123</v>
      </c>
      <c r="B7" s="155" t="s">
        <v>124</v>
      </c>
      <c r="F7" s="758" t="s">
        <v>346</v>
      </c>
      <c r="G7" s="758"/>
      <c r="H7" s="758"/>
      <c r="I7" s="758"/>
      <c r="J7" s="758"/>
      <c r="K7" s="758"/>
      <c r="L7" s="758"/>
      <c r="M7" s="758"/>
      <c r="Q7" s="453"/>
      <c r="R7" s="454" t="s">
        <v>183</v>
      </c>
      <c r="S7" s="455"/>
      <c r="T7" s="454" t="s">
        <v>184</v>
      </c>
      <c r="U7" s="456"/>
      <c r="V7" s="455"/>
      <c r="W7" s="457">
        <f>J37</f>
        <v>14000</v>
      </c>
      <c r="X7" s="454" t="s">
        <v>253</v>
      </c>
      <c r="Y7" s="456"/>
      <c r="Z7" s="458"/>
    </row>
    <row r="8" spans="1:26" ht="18.75" customHeight="1" thickBot="1">
      <c r="A8" s="159"/>
      <c r="Q8" s="155"/>
      <c r="R8" s="155"/>
      <c r="S8" s="155"/>
      <c r="T8" s="155"/>
      <c r="U8" s="746" t="s">
        <v>185</v>
      </c>
      <c r="V8" s="747"/>
      <c r="W8" s="459">
        <f>SUM(W6:W7)</f>
        <v>14000</v>
      </c>
      <c r="X8" s="155"/>
      <c r="Y8" s="155"/>
      <c r="Z8"/>
    </row>
    <row r="9" spans="1:26" ht="18.75" customHeight="1">
      <c r="A9" s="166" t="s">
        <v>127</v>
      </c>
      <c r="B9" s="155" t="s">
        <v>128</v>
      </c>
      <c r="F9" s="759">
        <f>'6W計算シート'!$C$5</f>
        <v>46400</v>
      </c>
      <c r="G9" s="759"/>
      <c r="I9" s="155" t="s">
        <v>125</v>
      </c>
      <c r="J9" s="155" t="s">
        <v>126</v>
      </c>
      <c r="L9" s="768" t="s">
        <v>24</v>
      </c>
      <c r="M9" s="768"/>
      <c r="Q9" s="155"/>
      <c r="R9" s="155"/>
      <c r="S9" s="155"/>
      <c r="T9" s="155"/>
      <c r="U9" s="155"/>
      <c r="V9" s="155"/>
      <c r="W9" s="460"/>
      <c r="X9" s="155"/>
      <c r="Y9" s="155"/>
      <c r="Z9" s="155"/>
    </row>
    <row r="10" spans="1:26" ht="18.75" customHeight="1">
      <c r="A10" s="159"/>
      <c r="J10" s="160" t="s">
        <v>129</v>
      </c>
      <c r="M10" s="258">
        <v>2500</v>
      </c>
      <c r="N10" s="1" t="s">
        <v>130</v>
      </c>
      <c r="Q10" s="461" t="s">
        <v>186</v>
      </c>
      <c r="R10" s="462" t="s">
        <v>187</v>
      </c>
      <c r="S10" s="462"/>
      <c r="T10" s="463" t="s">
        <v>188</v>
      </c>
      <c r="U10" s="184"/>
      <c r="V10" s="464"/>
      <c r="W10" s="465">
        <f>IF('6W計算シート'!$B$24=3,$J$32,0)</f>
        <v>427500</v>
      </c>
      <c r="X10" s="463" t="s">
        <v>189</v>
      </c>
      <c r="Y10" s="184"/>
      <c r="Z10" s="466"/>
    </row>
    <row r="11" spans="1:26" ht="18.75" customHeight="1" thickBot="1">
      <c r="A11" s="166" t="s">
        <v>131</v>
      </c>
      <c r="B11" s="155" t="s">
        <v>225</v>
      </c>
      <c r="F11" s="522">
        <v>213</v>
      </c>
      <c r="G11" s="1" t="s">
        <v>227</v>
      </c>
      <c r="J11" s="161" t="str">
        <f>"補助対象宿泊費 (上限"&amp;TEXT(【宿舎費_外部宿舎】,"#,###")&amp;"円／泊)："</f>
        <v>補助対象宿泊費 (上限6,280円／泊)：</v>
      </c>
      <c r="K11"/>
      <c r="M11" s="162">
        <f>IF($M$10&gt;【宿舎費_外部宿舎】,【宿舎費_外部宿舎】,$M$10)</f>
        <v>2500</v>
      </c>
      <c r="N11" s="163" t="s">
        <v>132</v>
      </c>
      <c r="Q11" s="467"/>
      <c r="R11" s="155"/>
      <c r="S11" s="155"/>
      <c r="T11" s="155"/>
      <c r="U11" s="746" t="s">
        <v>223</v>
      </c>
      <c r="V11" s="747"/>
      <c r="W11" s="459">
        <f>SUM(W10:W10)</f>
        <v>427500</v>
      </c>
      <c r="X11" s="155"/>
      <c r="Y11" s="155"/>
      <c r="Z11"/>
    </row>
    <row r="12" spans="1:26" ht="18.75" customHeight="1">
      <c r="A12" s="159"/>
      <c r="B12" s="155" t="s">
        <v>226</v>
      </c>
      <c r="F12" s="521">
        <f>$F$11+1</f>
        <v>214</v>
      </c>
      <c r="G12" s="1" t="s">
        <v>229</v>
      </c>
      <c r="Q12" s="155"/>
      <c r="R12" s="155"/>
      <c r="S12" s="155"/>
      <c r="T12" s="155"/>
      <c r="U12" s="155"/>
      <c r="V12" s="155"/>
      <c r="W12" s="460"/>
      <c r="X12" s="155"/>
      <c r="Y12" s="155"/>
      <c r="Z12" s="155"/>
    </row>
    <row r="13" spans="1:26" ht="18.75" customHeight="1">
      <c r="A13" s="159"/>
      <c r="B13" s="164" t="s">
        <v>235</v>
      </c>
      <c r="C13" s="1"/>
      <c r="D13" s="165"/>
      <c r="F13" s="832" t="s">
        <v>355</v>
      </c>
      <c r="G13" s="832"/>
      <c r="H13" s="832"/>
      <c r="I13" s="159" t="s">
        <v>134</v>
      </c>
      <c r="J13" t="s">
        <v>248</v>
      </c>
      <c r="Q13" s="167" t="s">
        <v>190</v>
      </c>
      <c r="R13" s="167" t="s">
        <v>191</v>
      </c>
      <c r="S13" s="168"/>
      <c r="T13" s="448" t="s">
        <v>192</v>
      </c>
      <c r="U13" s="450"/>
      <c r="V13" s="449"/>
      <c r="W13" s="451">
        <f>J33</f>
        <v>547200</v>
      </c>
      <c r="X13" s="448" t="s">
        <v>193</v>
      </c>
      <c r="Y13" s="450"/>
      <c r="Z13" s="449"/>
    </row>
    <row r="14" spans="1:26" ht="18.75" customHeight="1">
      <c r="A14" s="159"/>
      <c r="B14" s="164" t="s">
        <v>133</v>
      </c>
      <c r="F14" s="3" t="str">
        <f>IF('6W計算シート'!$C$12=0,"(0日)",TEXT('6W計算シート'!$C$12,"yyyy/m/d")&amp;"～"&amp;TEXT('6W計算シート'!$C$14,"yyyy/m/d")&amp;"("&amp;'6W計算シート'!$C$13&amp;"日)")</f>
        <v>2027/2/25～2027/8/14(171日)</v>
      </c>
      <c r="J14" s="164" t="s">
        <v>135</v>
      </c>
      <c r="K14" s="1"/>
      <c r="L14" s="1"/>
      <c r="M14" s="42">
        <v>1000</v>
      </c>
      <c r="N14" s="3" t="s">
        <v>136</v>
      </c>
      <c r="Q14" s="169"/>
      <c r="R14" s="169"/>
      <c r="S14" s="170"/>
      <c r="T14" s="454" t="s">
        <v>194</v>
      </c>
      <c r="U14" s="456"/>
      <c r="V14" s="455"/>
      <c r="W14" s="457">
        <f>J34</f>
        <v>214000</v>
      </c>
      <c r="X14" s="454" t="s">
        <v>193</v>
      </c>
      <c r="Y14" s="456"/>
      <c r="Z14" s="455"/>
    </row>
    <row r="15" spans="1:26" ht="18.75" customHeight="1" thickBot="1">
      <c r="A15" s="159"/>
      <c r="J15" s="164" t="s">
        <v>138</v>
      </c>
      <c r="K15" s="1"/>
      <c r="L15" s="1"/>
      <c r="M15" s="42">
        <v>10000</v>
      </c>
      <c r="N15" s="3" t="s">
        <v>136</v>
      </c>
      <c r="Q15" s="155"/>
      <c r="R15" s="155"/>
      <c r="S15" s="155"/>
      <c r="T15" s="155"/>
      <c r="U15" s="746" t="s">
        <v>185</v>
      </c>
      <c r="V15" s="747"/>
      <c r="W15" s="459">
        <f>SUM(W13:W14)</f>
        <v>761200</v>
      </c>
      <c r="X15" s="155"/>
      <c r="Y15" s="155"/>
      <c r="Z15"/>
    </row>
    <row r="16" spans="1:26" ht="18.75" customHeight="1">
      <c r="A16" s="166" t="s">
        <v>140</v>
      </c>
      <c r="B16" s="155" t="s">
        <v>141</v>
      </c>
      <c r="F16" s="760"/>
      <c r="G16" s="760"/>
      <c r="H16" s="155" t="s">
        <v>136</v>
      </c>
      <c r="J16" s="164" t="s">
        <v>139</v>
      </c>
      <c r="K16" s="1"/>
      <c r="L16" s="1"/>
      <c r="M16" s="42">
        <v>3000</v>
      </c>
      <c r="N16" s="3" t="s">
        <v>136</v>
      </c>
      <c r="Q16" s="155"/>
      <c r="R16" s="155"/>
      <c r="S16" s="155"/>
      <c r="T16" s="155"/>
      <c r="U16" s="155"/>
      <c r="V16" s="155"/>
      <c r="W16" s="460"/>
      <c r="X16" s="155"/>
      <c r="Y16" s="155"/>
      <c r="Z16" s="155"/>
    </row>
    <row r="17" spans="1:29" ht="18.75" customHeight="1">
      <c r="B17" s="171" t="s">
        <v>336</v>
      </c>
      <c r="L17" s="767" t="s">
        <v>142</v>
      </c>
      <c r="M17" s="761">
        <f>SUM(M14:M16)</f>
        <v>14000</v>
      </c>
      <c r="N17" s="762" t="s">
        <v>136</v>
      </c>
      <c r="Q17" s="167" t="s">
        <v>195</v>
      </c>
      <c r="R17" s="167" t="s">
        <v>196</v>
      </c>
      <c r="S17" s="168"/>
      <c r="T17" s="448" t="s">
        <v>197</v>
      </c>
      <c r="U17" s="450"/>
      <c r="V17" s="449"/>
      <c r="W17" s="451">
        <f>J36</f>
        <v>574560</v>
      </c>
      <c r="X17" s="450" t="s">
        <v>198</v>
      </c>
      <c r="Y17" s="450"/>
      <c r="Z17" s="449"/>
    </row>
    <row r="18" spans="1:29" ht="18.75" customHeight="1">
      <c r="A18" s="159"/>
      <c r="B18" s="171" t="s">
        <v>292</v>
      </c>
      <c r="L18" s="767"/>
      <c r="M18" s="761"/>
      <c r="N18" s="762"/>
      <c r="Q18" s="169"/>
      <c r="R18" s="169"/>
      <c r="S18" s="170"/>
      <c r="T18" s="454" t="s">
        <v>199</v>
      </c>
      <c r="U18" s="456"/>
      <c r="V18" s="455"/>
      <c r="W18" s="457">
        <f>IF('6W計算シート'!$B$24=2,$J$32,0)</f>
        <v>0</v>
      </c>
      <c r="X18" s="454" t="s">
        <v>200</v>
      </c>
      <c r="Y18" s="456"/>
      <c r="Z18" s="458"/>
    </row>
    <row r="19" spans="1:29" ht="18.75" customHeight="1" thickBot="1">
      <c r="M19" s="172"/>
      <c r="N19" s="1" t="s">
        <v>218</v>
      </c>
      <c r="Q19" s="155"/>
      <c r="R19" s="155"/>
      <c r="S19" s="155"/>
      <c r="T19" s="155"/>
      <c r="U19" s="746" t="s">
        <v>185</v>
      </c>
      <c r="V19" s="746"/>
      <c r="W19" s="459">
        <f>SUM(W17:W18)</f>
        <v>574560</v>
      </c>
      <c r="X19" s="155"/>
      <c r="Y19" s="155"/>
      <c r="Z19"/>
    </row>
    <row r="20" spans="1:29" ht="8.1" customHeight="1">
      <c r="I20" s="173"/>
      <c r="M20" s="173"/>
      <c r="N20" s="173"/>
      <c r="Q20" s="155"/>
      <c r="R20" s="155"/>
      <c r="S20" s="155"/>
      <c r="T20" s="155"/>
      <c r="U20" s="155"/>
      <c r="V20" s="155"/>
      <c r="W20" s="155"/>
      <c r="X20" s="155"/>
      <c r="Y20" s="155"/>
      <c r="Z20" s="155"/>
    </row>
    <row r="21" spans="1:29" ht="16.5" customHeight="1">
      <c r="A21" s="154" t="s">
        <v>144</v>
      </c>
      <c r="B21" s="260"/>
      <c r="C21" s="260"/>
      <c r="D21" s="260"/>
      <c r="K21" s="174"/>
      <c r="M21" s="175"/>
    </row>
    <row r="22" spans="1:29" ht="16.5" customHeight="1">
      <c r="A22" s="260"/>
      <c r="B22" s="819" t="s">
        <v>145</v>
      </c>
      <c r="C22" s="819"/>
      <c r="D22" s="819"/>
      <c r="E22" s="819"/>
      <c r="F22" s="819"/>
      <c r="G22" s="819"/>
      <c r="H22" s="819"/>
      <c r="I22" s="819"/>
      <c r="J22" s="819"/>
      <c r="K22" s="819"/>
      <c r="L22" s="819"/>
      <c r="M22" s="819"/>
      <c r="N22" s="819"/>
    </row>
    <row r="23" spans="1:29" ht="16.5" customHeight="1" thickBot="1">
      <c r="B23" s="820"/>
      <c r="C23" s="820"/>
      <c r="D23" s="820"/>
      <c r="E23" s="820"/>
      <c r="F23" s="820"/>
      <c r="G23" s="820"/>
      <c r="H23" s="820"/>
      <c r="I23" s="820"/>
      <c r="J23" s="820"/>
      <c r="K23" s="820"/>
      <c r="L23" s="820"/>
      <c r="M23" s="820"/>
      <c r="N23" s="820"/>
      <c r="Q23" s="441" t="s">
        <v>302</v>
      </c>
      <c r="R23" s="441"/>
      <c r="S23" s="441"/>
      <c r="T23" s="441"/>
      <c r="U23" s="155"/>
      <c r="V23" s="155"/>
      <c r="W23" s="155"/>
      <c r="X23" s="155"/>
      <c r="Y23" s="155"/>
      <c r="Z23" s="155"/>
    </row>
    <row r="24" spans="1:29" ht="16.5" customHeight="1">
      <c r="B24" s="807" t="s">
        <v>146</v>
      </c>
      <c r="C24" s="808"/>
      <c r="D24" s="808"/>
      <c r="E24" s="808"/>
      <c r="F24" s="808"/>
      <c r="G24" s="809"/>
      <c r="H24" s="805" t="s">
        <v>147</v>
      </c>
      <c r="I24" s="805" t="s">
        <v>148</v>
      </c>
      <c r="J24" s="803" t="s">
        <v>0</v>
      </c>
      <c r="K24" s="800" t="s">
        <v>149</v>
      </c>
      <c r="L24" s="801"/>
      <c r="M24" s="817" t="s">
        <v>150</v>
      </c>
      <c r="N24" s="818"/>
      <c r="Q24" s="155"/>
      <c r="R24" s="155"/>
      <c r="S24" s="155"/>
      <c r="T24" s="155"/>
      <c r="U24" s="155"/>
      <c r="V24" s="155"/>
      <c r="W24" s="155"/>
      <c r="X24" s="155"/>
      <c r="Y24" s="155"/>
      <c r="Z24" s="155"/>
    </row>
    <row r="25" spans="1:29" ht="16.5" customHeight="1" thickBot="1">
      <c r="B25" s="810"/>
      <c r="C25" s="811"/>
      <c r="D25" s="811"/>
      <c r="E25" s="811"/>
      <c r="F25" s="811"/>
      <c r="G25" s="812"/>
      <c r="H25" s="806"/>
      <c r="I25" s="806"/>
      <c r="J25" s="804"/>
      <c r="K25" s="176" t="s">
        <v>151</v>
      </c>
      <c r="L25" s="177">
        <f>VLOOKUP(【研修申込区分】,【研修申込区分別費用】,3,FALSE)</f>
        <v>0.5</v>
      </c>
      <c r="M25" s="178" t="s">
        <v>152</v>
      </c>
      <c r="N25" s="179">
        <f>VLOOKUP(【研修申込区分】,【研修申込区分別費用】,4,FALSE)</f>
        <v>0.5</v>
      </c>
      <c r="Q25" s="641" t="s">
        <v>300</v>
      </c>
      <c r="R25" s="641"/>
      <c r="S25" s="642"/>
      <c r="T25" s="643" t="s">
        <v>301</v>
      </c>
      <c r="U25" s="639" t="s">
        <v>299</v>
      </c>
      <c r="V25" s="471"/>
      <c r="W25" s="471"/>
      <c r="X25" s="471"/>
      <c r="Y25" s="471"/>
      <c r="Z25" s="471"/>
      <c r="AC25" s="605"/>
    </row>
    <row r="26" spans="1:29" ht="18.75" customHeight="1">
      <c r="B26" s="830" t="s">
        <v>153</v>
      </c>
      <c r="C26" s="155" t="s">
        <v>154</v>
      </c>
      <c r="G26" s="180" t="s">
        <v>0</v>
      </c>
      <c r="H26" s="181"/>
      <c r="I26" s="182" t="s">
        <v>82</v>
      </c>
      <c r="J26" s="525" t="str">
        <f>IF(OR(【研修申込区分】=6,【研修申込区分】=7,【研修申込区分】=4,【研修申込区分】=5),$F$16,"補助対象外")</f>
        <v>補助対象外</v>
      </c>
      <c r="K26" s="837" t="str">
        <f>IF(OR('6W計算シート'!B33=6,'6W計算シート'!B33=7,'6W計算シート'!B33=4,'6W計算シート'!B33=5),ROUNDDOWN(J26*$L$25,0),"補助対象外")</f>
        <v>補助対象外</v>
      </c>
      <c r="L26" s="838"/>
      <c r="M26" s="750" t="str">
        <f>IF(OR('6W計算シート'!B33=6,'6W計算シート'!B33=7,'6W計算シート'!B33=4,'6W計算シート'!B33=5),ROUNDUP(J26*$N$25,0),"補助対象外")</f>
        <v>補助対象外</v>
      </c>
      <c r="N26" s="751"/>
      <c r="Q26" s="842" t="s">
        <v>319</v>
      </c>
      <c r="R26" s="843"/>
      <c r="S26" s="844"/>
      <c r="T26" s="481"/>
      <c r="U26" s="763" t="s">
        <v>339</v>
      </c>
      <c r="V26" s="764"/>
      <c r="W26" s="481"/>
      <c r="X26" s="481"/>
      <c r="Y26" s="481"/>
      <c r="Z26" s="481"/>
      <c r="AA26" s="605"/>
    </row>
    <row r="27" spans="1:29" ht="18.75" customHeight="1">
      <c r="B27" s="828"/>
      <c r="C27" s="813" t="s">
        <v>155</v>
      </c>
      <c r="D27" s="183" t="s">
        <v>156</v>
      </c>
      <c r="E27" s="184"/>
      <c r="F27" s="184"/>
      <c r="G27" s="185"/>
      <c r="H27" s="186"/>
      <c r="I27" s="187"/>
      <c r="J27" s="187"/>
      <c r="K27" s="839"/>
      <c r="L27" s="752"/>
      <c r="M27" s="752"/>
      <c r="N27" s="753"/>
      <c r="Q27" s="483" t="s">
        <v>282</v>
      </c>
      <c r="R27" s="484"/>
      <c r="S27" s="571">
        <f>$J$60-$J$58</f>
        <v>534600</v>
      </c>
      <c r="T27" s="607"/>
      <c r="U27" s="765"/>
      <c r="V27" s="766"/>
      <c r="W27" s="607"/>
      <c r="X27" s="607"/>
      <c r="Y27" s="607"/>
      <c r="Z27" s="607"/>
      <c r="AA27" s="469"/>
    </row>
    <row r="28" spans="1:29" ht="18.75" customHeight="1">
      <c r="B28" s="828"/>
      <c r="C28" s="814"/>
      <c r="D28" s="188"/>
      <c r="E28" s="189" t="s">
        <v>157</v>
      </c>
      <c r="F28" s="190"/>
      <c r="G28" s="191" t="s">
        <v>158</v>
      </c>
      <c r="H28" s="192">
        <f>【宿舎費_研修センター】+【食費_夕食】+【食費_朝食】</f>
        <v>11200</v>
      </c>
      <c r="I28" s="193">
        <v>1</v>
      </c>
      <c r="J28" s="259">
        <f t="shared" ref="J28:J36" si="0">H28*I28</f>
        <v>11200</v>
      </c>
      <c r="K28" s="840">
        <f t="shared" ref="K28:K36" si="1">ROUNDDOWN(J28*$L$25,0)</f>
        <v>5600</v>
      </c>
      <c r="L28" s="841"/>
      <c r="M28" s="754">
        <f>ROUNDUP(J28*$N$25,0)</f>
        <v>5600</v>
      </c>
      <c r="N28" s="755"/>
      <c r="Q28" s="483" t="s">
        <v>283</v>
      </c>
      <c r="R28" s="484"/>
      <c r="S28" s="488">
        <f>$J$58</f>
        <v>36480</v>
      </c>
      <c r="T28" s="608"/>
      <c r="U28" s="611"/>
      <c r="V28" s="661">
        <f>S30-V30</f>
        <v>285540</v>
      </c>
      <c r="W28" s="608"/>
      <c r="X28" s="608"/>
      <c r="Y28" s="608"/>
      <c r="Z28" s="608"/>
      <c r="AA28" s="471"/>
    </row>
    <row r="29" spans="1:29" ht="18.75" customHeight="1">
      <c r="B29" s="828"/>
      <c r="C29" s="814"/>
      <c r="D29" s="188"/>
      <c r="E29" s="189" t="s">
        <v>159</v>
      </c>
      <c r="F29" s="190"/>
      <c r="G29" s="194" t="s">
        <v>158</v>
      </c>
      <c r="H29" s="195">
        <f>【宿舎費_研修センター】+【食費_昼食】+【食費_夕食】+【食費_朝食】</f>
        <v>12200</v>
      </c>
      <c r="I29" s="196">
        <f>VLOOKUP('6W計算シート'!B47,【日程表】,6,FALSE)-I28-I30</f>
        <v>40</v>
      </c>
      <c r="J29" s="197">
        <f t="shared" si="0"/>
        <v>488000</v>
      </c>
      <c r="K29" s="787">
        <f t="shared" si="1"/>
        <v>244000</v>
      </c>
      <c r="L29" s="788"/>
      <c r="M29" s="748">
        <f t="shared" ref="M29:M36" si="2">ROUNDUP(J29*$N$25,0)</f>
        <v>244000</v>
      </c>
      <c r="N29" s="749"/>
      <c r="Q29" s="483"/>
      <c r="R29" s="484"/>
      <c r="S29" s="488"/>
      <c r="T29" s="608"/>
      <c r="U29" s="612" t="s">
        <v>295</v>
      </c>
      <c r="V29" s="613"/>
      <c r="W29" s="608"/>
      <c r="X29" s="636" t="s">
        <v>296</v>
      </c>
      <c r="Y29" s="608"/>
      <c r="Z29" s="608"/>
      <c r="AA29" s="606"/>
    </row>
    <row r="30" spans="1:29" ht="18.75" customHeight="1" thickBot="1">
      <c r="B30" s="828"/>
      <c r="C30" s="814"/>
      <c r="D30" s="188"/>
      <c r="E30" s="680" t="s">
        <v>160</v>
      </c>
      <c r="F30" s="681"/>
      <c r="G30" s="682" t="s">
        <v>161</v>
      </c>
      <c r="H30" s="688">
        <f>【宿舎費_研修旅行中】</f>
        <v>14500</v>
      </c>
      <c r="I30" s="199">
        <v>2</v>
      </c>
      <c r="J30" s="200">
        <f t="shared" si="0"/>
        <v>29000</v>
      </c>
      <c r="K30" s="781">
        <f t="shared" si="1"/>
        <v>14500</v>
      </c>
      <c r="L30" s="782"/>
      <c r="M30" s="756">
        <f t="shared" si="2"/>
        <v>14500</v>
      </c>
      <c r="N30" s="757"/>
      <c r="Q30" s="572"/>
      <c r="R30" s="573"/>
      <c r="S30" s="574">
        <f>SUM($S$27:$S$28)</f>
        <v>571080</v>
      </c>
      <c r="T30" s="609"/>
      <c r="U30" s="614"/>
      <c r="V30" s="662">
        <f>ROUNDUP(S30*N25,0)</f>
        <v>285540</v>
      </c>
      <c r="W30" s="609"/>
      <c r="X30" s="657">
        <f>J45</f>
        <v>1174170</v>
      </c>
      <c r="Y30" s="609"/>
      <c r="Z30" s="609"/>
      <c r="AA30" s="481"/>
    </row>
    <row r="31" spans="1:29" ht="18.75" customHeight="1">
      <c r="B31" s="828"/>
      <c r="C31" s="814"/>
      <c r="D31" s="201"/>
      <c r="E31" s="683"/>
      <c r="F31" s="684"/>
      <c r="G31" s="685" t="s">
        <v>22</v>
      </c>
      <c r="H31" s="202">
        <f>【食費_昼食】+【食費_夕食】+【食費_朝食】</f>
        <v>3200</v>
      </c>
      <c r="I31" s="203">
        <v>2</v>
      </c>
      <c r="J31" s="204">
        <f t="shared" si="0"/>
        <v>6400</v>
      </c>
      <c r="K31" s="835">
        <f t="shared" si="1"/>
        <v>3200</v>
      </c>
      <c r="L31" s="836"/>
      <c r="M31" s="792">
        <f t="shared" si="2"/>
        <v>3200</v>
      </c>
      <c r="N31" s="793"/>
      <c r="Q31" s="490" t="s">
        <v>307</v>
      </c>
      <c r="R31" s="491"/>
      <c r="S31" s="497"/>
      <c r="T31" s="608"/>
      <c r="U31" s="783" t="s">
        <v>326</v>
      </c>
      <c r="V31" s="784"/>
      <c r="W31" s="608"/>
      <c r="X31" s="608"/>
      <c r="Y31" s="608"/>
      <c r="Z31" s="608"/>
      <c r="AA31" s="607"/>
    </row>
    <row r="32" spans="1:29" ht="18.75" customHeight="1">
      <c r="B32" s="828"/>
      <c r="C32" s="814"/>
      <c r="D32" s="205" t="s">
        <v>162</v>
      </c>
      <c r="G32" s="206" t="str">
        <f>IF(【実地研修中の宿泊】=1,"宿舎費、食費（朝・夕）","宿舎")</f>
        <v>宿舎</v>
      </c>
      <c r="H32" s="198">
        <f>IF(【実地研修中の宿泊】=1,【宿舎費_研修センター】+【食費_夕食】+【食費_朝食】,IF(【実地研修中の宿泊】=2,【宿舎費_会社施設】,$M$11))</f>
        <v>2500</v>
      </c>
      <c r="I32" s="199">
        <f>'6W計算シート'!$C$13</f>
        <v>171</v>
      </c>
      <c r="J32" s="200">
        <f t="shared" si="0"/>
        <v>427500</v>
      </c>
      <c r="K32" s="781">
        <f t="shared" si="1"/>
        <v>213750</v>
      </c>
      <c r="L32" s="782"/>
      <c r="M32" s="756">
        <f t="shared" si="2"/>
        <v>213750</v>
      </c>
      <c r="N32" s="757"/>
      <c r="Q32" s="495" t="s">
        <v>205</v>
      </c>
      <c r="R32" s="496"/>
      <c r="S32" s="659" t="str">
        <f>$J$26</f>
        <v>補助対象外</v>
      </c>
      <c r="T32" s="608"/>
      <c r="U32" s="785"/>
      <c r="V32" s="786"/>
      <c r="W32" s="608"/>
      <c r="X32" s="608"/>
      <c r="Y32" s="608"/>
      <c r="Z32" s="608"/>
      <c r="AA32" s="608"/>
    </row>
    <row r="33" spans="1:27" ht="18.75" customHeight="1">
      <c r="B33" s="828"/>
      <c r="C33" s="814"/>
      <c r="D33" s="207"/>
      <c r="E33" s="208"/>
      <c r="F33" s="208"/>
      <c r="G33" s="209" t="str">
        <f>IF(【実地研修中の宿泊】=1,"食費(昼食費)","食費")</f>
        <v>食費</v>
      </c>
      <c r="H33" s="202">
        <f>IF(【実地研修中の宿泊】=1,【食費_昼食】,【食費_昼食】+【食費_夕食】+【食費_朝食】)</f>
        <v>3200</v>
      </c>
      <c r="I33" s="203">
        <f>'6W計算シート'!$C$13</f>
        <v>171</v>
      </c>
      <c r="J33" s="204">
        <f t="shared" si="0"/>
        <v>547200</v>
      </c>
      <c r="K33" s="835">
        <f t="shared" si="1"/>
        <v>273600</v>
      </c>
      <c r="L33" s="836"/>
      <c r="M33" s="792">
        <f t="shared" si="2"/>
        <v>273600</v>
      </c>
      <c r="N33" s="793"/>
      <c r="Q33" s="495" t="s">
        <v>279</v>
      </c>
      <c r="R33" s="496"/>
      <c r="S33" s="497">
        <f>IF(【実地研修中の宿泊】=1,0,$J$32)</f>
        <v>427500</v>
      </c>
      <c r="T33" s="608"/>
      <c r="U33" s="615"/>
      <c r="V33" s="497"/>
      <c r="W33" s="608"/>
      <c r="X33" s="608"/>
      <c r="Y33" s="608"/>
      <c r="Z33" s="608"/>
      <c r="AA33" s="609"/>
    </row>
    <row r="34" spans="1:27" ht="18.75" customHeight="1">
      <c r="B34" s="828"/>
      <c r="C34" s="815"/>
      <c r="D34" s="189" t="s">
        <v>137</v>
      </c>
      <c r="E34" s="190"/>
      <c r="F34" s="190"/>
      <c r="G34" s="170"/>
      <c r="H34" s="195">
        <f>【雑費】</f>
        <v>1000</v>
      </c>
      <c r="I34" s="196">
        <f>F12</f>
        <v>214</v>
      </c>
      <c r="J34" s="197">
        <f t="shared" si="0"/>
        <v>214000</v>
      </c>
      <c r="K34" s="787">
        <f t="shared" si="1"/>
        <v>107000</v>
      </c>
      <c r="L34" s="788"/>
      <c r="M34" s="748">
        <f t="shared" si="2"/>
        <v>107000</v>
      </c>
      <c r="N34" s="749"/>
      <c r="Q34" s="495" t="s">
        <v>280</v>
      </c>
      <c r="R34" s="496"/>
      <c r="S34" s="497">
        <f>$J$33</f>
        <v>547200</v>
      </c>
      <c r="T34" s="608"/>
      <c r="U34" s="615"/>
      <c r="V34" s="497"/>
      <c r="W34" s="608"/>
      <c r="X34" s="608"/>
      <c r="Y34" s="608"/>
      <c r="Z34" s="608"/>
      <c r="AA34" s="608"/>
    </row>
    <row r="35" spans="1:27" ht="18.75" customHeight="1">
      <c r="B35" s="828"/>
      <c r="C35" s="155" t="s">
        <v>254</v>
      </c>
      <c r="D35" s="256"/>
      <c r="E35" s="256"/>
      <c r="F35" s="256"/>
      <c r="G35" s="553"/>
      <c r="H35" s="562" t="s">
        <v>163</v>
      </c>
      <c r="I35" s="555">
        <f>F12</f>
        <v>214</v>
      </c>
      <c r="J35" s="501">
        <f>VLOOKUP("該当",【海外旅行保険】,3,FALSE)</f>
        <v>36480</v>
      </c>
      <c r="K35" s="787">
        <f t="shared" ref="K35" si="3">ROUNDDOWN(J35*$L$25,0)</f>
        <v>18240</v>
      </c>
      <c r="L35" s="788"/>
      <c r="M35" s="748">
        <f t="shared" ref="M35" si="4">ROUNDUP(J35*$N$25,0)</f>
        <v>18240</v>
      </c>
      <c r="N35" s="749"/>
      <c r="Q35" s="495" t="s">
        <v>281</v>
      </c>
      <c r="R35" s="496"/>
      <c r="S35" s="497">
        <f>$J$34</f>
        <v>214000</v>
      </c>
      <c r="T35" s="608"/>
      <c r="U35" s="616"/>
      <c r="V35" s="663">
        <f>S38-V38</f>
        <v>888630</v>
      </c>
      <c r="W35" s="608"/>
      <c r="X35" s="608"/>
      <c r="Y35" s="608"/>
      <c r="Z35" s="608"/>
      <c r="AA35" s="608"/>
    </row>
    <row r="36" spans="1:27" ht="18.75" customHeight="1">
      <c r="B36" s="828"/>
      <c r="C36" s="210" t="s">
        <v>143</v>
      </c>
      <c r="D36" s="210"/>
      <c r="E36" s="210"/>
      <c r="F36" s="210"/>
      <c r="G36" s="168"/>
      <c r="H36" s="554">
        <f>VLOOKUP(【研修申込区分】,【研修申込区分別費用】,5,FALSE)</f>
        <v>3360</v>
      </c>
      <c r="I36" s="211">
        <f>'6W計算シート'!$C$13</f>
        <v>171</v>
      </c>
      <c r="J36" s="212">
        <f t="shared" si="0"/>
        <v>574560</v>
      </c>
      <c r="K36" s="845">
        <f t="shared" si="1"/>
        <v>287280</v>
      </c>
      <c r="L36" s="846"/>
      <c r="M36" s="794">
        <f t="shared" si="2"/>
        <v>287280</v>
      </c>
      <c r="N36" s="795"/>
      <c r="Q36" s="495" t="s">
        <v>209</v>
      </c>
      <c r="R36" s="496"/>
      <c r="S36" s="497">
        <f>$J$36</f>
        <v>574560</v>
      </c>
      <c r="T36" s="608"/>
      <c r="U36" s="617" t="s">
        <v>295</v>
      </c>
      <c r="V36" s="618"/>
      <c r="W36" s="608"/>
      <c r="X36" s="608"/>
      <c r="Y36" s="608"/>
      <c r="Z36" s="608"/>
      <c r="AA36" s="608"/>
    </row>
    <row r="37" spans="1:27" ht="18.75" customHeight="1" thickBot="1">
      <c r="B37" s="831"/>
      <c r="C37" s="213" t="s">
        <v>249</v>
      </c>
      <c r="D37" s="213"/>
      <c r="E37" s="213"/>
      <c r="F37" s="213"/>
      <c r="G37" s="214"/>
      <c r="H37" s="215" t="s">
        <v>163</v>
      </c>
      <c r="I37" s="216" t="s">
        <v>163</v>
      </c>
      <c r="J37" s="217">
        <f>$M$17</f>
        <v>14000</v>
      </c>
      <c r="K37" s="833">
        <f t="shared" ref="K37" si="5">ROUNDDOWN(J37*$L$25,0)</f>
        <v>7000</v>
      </c>
      <c r="L37" s="834"/>
      <c r="M37" s="779">
        <f t="shared" ref="M37" si="6">ROUNDUP(J37*$N$25,0)</f>
        <v>7000</v>
      </c>
      <c r="N37" s="780"/>
      <c r="Q37" s="495" t="s">
        <v>211</v>
      </c>
      <c r="R37" s="496"/>
      <c r="S37" s="530">
        <f>$M$17</f>
        <v>14000</v>
      </c>
      <c r="T37" s="607"/>
      <c r="U37" s="619"/>
      <c r="V37" s="620"/>
      <c r="W37" s="607"/>
      <c r="X37" s="607"/>
      <c r="Y37" s="607"/>
      <c r="Z37" s="607"/>
      <c r="AA37" s="608"/>
    </row>
    <row r="38" spans="1:27" ht="18.75" customHeight="1" thickBot="1">
      <c r="B38" s="796" t="s">
        <v>164</v>
      </c>
      <c r="C38" s="797"/>
      <c r="D38" s="797"/>
      <c r="E38" s="797"/>
      <c r="F38" s="797"/>
      <c r="G38" s="797"/>
      <c r="H38" s="797"/>
      <c r="I38" s="798"/>
      <c r="J38" s="218">
        <f>SUM(J26:J37)</f>
        <v>2348340</v>
      </c>
      <c r="K38" s="821">
        <f>SUM(K26:K37)</f>
        <v>1174170</v>
      </c>
      <c r="L38" s="822"/>
      <c r="M38" s="790">
        <f>SUM(M26:M37)</f>
        <v>1174170</v>
      </c>
      <c r="N38" s="791"/>
      <c r="Q38" s="528"/>
      <c r="R38" s="529"/>
      <c r="S38" s="660">
        <f>SUM(S32:S37)</f>
        <v>1777260</v>
      </c>
      <c r="T38" s="610"/>
      <c r="U38" s="621"/>
      <c r="V38" s="664">
        <f>ROUNDUP(S38*N25,0)</f>
        <v>888630</v>
      </c>
      <c r="W38" s="610"/>
      <c r="X38" s="610"/>
      <c r="Y38" s="610"/>
      <c r="Z38" s="610"/>
      <c r="AA38" s="608"/>
    </row>
    <row r="39" spans="1:27" ht="16.5" customHeight="1">
      <c r="A39"/>
      <c r="B39" s="219"/>
      <c r="C39" s="220"/>
      <c r="D39" s="220"/>
      <c r="E39" s="220"/>
      <c r="F39" s="220"/>
      <c r="G39" s="220"/>
      <c r="H39" s="220"/>
      <c r="I39" s="220"/>
      <c r="J39" s="221" t="s">
        <v>165</v>
      </c>
      <c r="K39" s="816" t="s">
        <v>304</v>
      </c>
      <c r="L39" s="816"/>
      <c r="M39" s="802" t="s">
        <v>245</v>
      </c>
      <c r="N39" s="802"/>
      <c r="Q39" s="769" t="s">
        <v>294</v>
      </c>
      <c r="R39" s="770"/>
      <c r="S39" s="771"/>
      <c r="U39" s="775" t="s">
        <v>340</v>
      </c>
      <c r="V39" s="776"/>
      <c r="AA39" s="608"/>
    </row>
    <row r="40" spans="1:27" ht="19.5" customHeight="1">
      <c r="C40" s="173"/>
      <c r="D40" s="173"/>
      <c r="E40" s="173"/>
      <c r="F40" s="173"/>
      <c r="G40" s="173"/>
      <c r="H40" s="173"/>
      <c r="I40" s="173"/>
      <c r="J40" s="173"/>
      <c r="K40" s="643" t="s">
        <v>325</v>
      </c>
      <c r="L40" s="666">
        <f>V35</f>
        <v>888630</v>
      </c>
      <c r="Q40" s="772"/>
      <c r="R40" s="773"/>
      <c r="S40" s="774"/>
      <c r="T40" s="155"/>
      <c r="U40" s="777"/>
      <c r="V40" s="778"/>
      <c r="W40" s="155"/>
      <c r="X40" s="155"/>
      <c r="Y40" s="155"/>
      <c r="Z40" s="155"/>
      <c r="AA40" s="607"/>
    </row>
    <row r="41" spans="1:27" ht="18.75" customHeight="1">
      <c r="B41" s="260"/>
      <c r="C41" s="260"/>
      <c r="D41" s="260"/>
      <c r="E41" s="260"/>
      <c r="F41" s="260"/>
      <c r="G41" s="260"/>
      <c r="H41" s="260"/>
      <c r="I41" s="260"/>
      <c r="J41" s="260"/>
      <c r="K41" s="643" t="s">
        <v>338</v>
      </c>
      <c r="L41" s="655">
        <f>V28</f>
        <v>285540</v>
      </c>
      <c r="Q41" s="625"/>
      <c r="R41" s="626"/>
      <c r="S41" s="623"/>
      <c r="T41" s="155"/>
      <c r="U41" s="622"/>
      <c r="V41" s="623"/>
      <c r="W41" s="155"/>
      <c r="X41" s="636"/>
      <c r="Y41" s="155"/>
      <c r="Z41" s="155"/>
      <c r="AA41" s="610"/>
    </row>
    <row r="42" spans="1:27" ht="18" customHeight="1">
      <c r="B42" s="260"/>
      <c r="C42" s="260"/>
      <c r="D42" s="260"/>
      <c r="E42" s="260"/>
      <c r="F42" s="260"/>
      <c r="G42" s="260"/>
      <c r="H42" s="260"/>
      <c r="I42" s="260"/>
      <c r="J42" s="260"/>
      <c r="K42" s="643"/>
      <c r="L42" s="656"/>
      <c r="Q42" s="627"/>
      <c r="R42" s="626"/>
      <c r="S42" s="623"/>
      <c r="T42" s="155"/>
      <c r="U42" s="631" t="s">
        <v>295</v>
      </c>
      <c r="V42" s="632"/>
      <c r="W42" s="155"/>
      <c r="X42" s="636"/>
      <c r="Y42" s="155"/>
      <c r="Z42" s="155"/>
      <c r="AA42" s="468"/>
    </row>
    <row r="43" spans="1:27" ht="18.75" customHeight="1" thickBot="1">
      <c r="B43" s="260" t="s">
        <v>286</v>
      </c>
      <c r="C43" s="260"/>
      <c r="D43" s="260"/>
      <c r="E43" s="260"/>
      <c r="F43" s="260"/>
      <c r="G43" s="260"/>
      <c r="H43" s="260"/>
      <c r="I43" s="260"/>
      <c r="J43" s="654"/>
      <c r="N43" s="222"/>
      <c r="Q43" s="628"/>
      <c r="R43" s="626"/>
      <c r="S43" s="623"/>
      <c r="T43" s="155"/>
      <c r="U43" s="633"/>
      <c r="V43" s="634"/>
      <c r="W43" s="155"/>
      <c r="X43" s="636" t="s">
        <v>305</v>
      </c>
      <c r="Y43" s="155"/>
      <c r="Z43" s="155"/>
    </row>
    <row r="44" spans="1:27" ht="18.75" customHeight="1" thickBot="1">
      <c r="C44" s="825" t="s">
        <v>167</v>
      </c>
      <c r="D44" s="826"/>
      <c r="E44" s="826"/>
      <c r="F44" s="826"/>
      <c r="G44" s="827"/>
      <c r="H44" s="223" t="s">
        <v>147</v>
      </c>
      <c r="I44" s="223" t="s">
        <v>148</v>
      </c>
      <c r="J44" s="224" t="s">
        <v>168</v>
      </c>
      <c r="Q44" s="629"/>
      <c r="R44" s="630"/>
      <c r="S44" s="624"/>
      <c r="T44" s="155"/>
      <c r="U44" s="635"/>
      <c r="V44" s="645">
        <f>J46</f>
        <v>420000</v>
      </c>
      <c r="W44" s="155"/>
      <c r="X44" s="646">
        <f>V44</f>
        <v>420000</v>
      </c>
      <c r="Y44" s="155"/>
      <c r="Z44" s="155"/>
    </row>
    <row r="45" spans="1:27" ht="18.75" customHeight="1">
      <c r="C45" s="828" t="s">
        <v>287</v>
      </c>
      <c r="D45" s="169" t="s">
        <v>246</v>
      </c>
      <c r="E45" s="225"/>
      <c r="F45" s="225"/>
      <c r="G45" s="225"/>
      <c r="H45" s="225"/>
      <c r="I45" s="225"/>
      <c r="J45" s="226">
        <f>M38</f>
        <v>1174170</v>
      </c>
      <c r="K45" s="235" t="s">
        <v>214</v>
      </c>
      <c r="Q45" s="155"/>
      <c r="R45" s="155"/>
      <c r="S45" s="155"/>
      <c r="T45" s="155"/>
      <c r="U45" s="155"/>
      <c r="V45" s="155"/>
      <c r="W45" s="155"/>
      <c r="X45" s="155"/>
      <c r="Y45" s="155"/>
      <c r="Z45" s="155"/>
    </row>
    <row r="46" spans="1:27" ht="18.75" customHeight="1">
      <c r="C46" s="828"/>
      <c r="D46" s="169" t="s">
        <v>242</v>
      </c>
      <c r="E46" s="225"/>
      <c r="F46" s="225"/>
      <c r="G46" s="225"/>
      <c r="H46" s="658">
        <f>VLOOKUP(【研修申込区分】,【研修申込区分別費用】,6,FALSE)</f>
        <v>420000</v>
      </c>
      <c r="I46" s="228">
        <v>1</v>
      </c>
      <c r="J46" s="229">
        <f>H46</f>
        <v>420000</v>
      </c>
      <c r="K46" s="647" t="s">
        <v>215</v>
      </c>
      <c r="Q46" s="155"/>
      <c r="R46" s="155"/>
      <c r="S46" s="155"/>
      <c r="T46" s="155"/>
      <c r="U46" s="155"/>
      <c r="V46" s="155"/>
      <c r="W46" s="155"/>
      <c r="X46" s="155"/>
      <c r="Y46" s="155"/>
      <c r="Z46" s="155"/>
    </row>
    <row r="47" spans="1:27" ht="18.75" customHeight="1" thickBot="1">
      <c r="C47" s="829"/>
      <c r="D47" s="230"/>
      <c r="E47" s="260"/>
      <c r="F47" s="260"/>
      <c r="G47" s="261"/>
      <c r="H47" s="231"/>
      <c r="I47" s="232"/>
      <c r="J47" s="233"/>
      <c r="Q47" s="644" t="s">
        <v>303</v>
      </c>
      <c r="S47" s="600"/>
      <c r="T47" s="600"/>
      <c r="U47" s="600"/>
      <c r="V47" s="600"/>
      <c r="W47" s="155"/>
      <c r="X47" s="155"/>
      <c r="Y47" s="155"/>
      <c r="Z47" s="155"/>
    </row>
    <row r="48" spans="1:27" ht="18.75" customHeight="1" thickBot="1">
      <c r="C48" s="796" t="s">
        <v>164</v>
      </c>
      <c r="D48" s="797"/>
      <c r="E48" s="797"/>
      <c r="F48" s="797"/>
      <c r="G48" s="797"/>
      <c r="H48" s="797"/>
      <c r="I48" s="798"/>
      <c r="J48" s="234">
        <f>SUM(J45:J47)</f>
        <v>1594170</v>
      </c>
      <c r="K48" s="235" t="s">
        <v>318</v>
      </c>
      <c r="Q48" s="734" t="s">
        <v>333</v>
      </c>
      <c r="R48" s="734"/>
      <c r="S48" s="734"/>
      <c r="T48" s="734"/>
      <c r="U48" s="601"/>
      <c r="V48" s="734" t="s">
        <v>320</v>
      </c>
      <c r="W48" s="734"/>
      <c r="X48" s="734"/>
      <c r="Y48" s="734"/>
      <c r="Z48" s="155"/>
    </row>
    <row r="49" spans="2:29" ht="18.75" customHeight="1">
      <c r="Q49" s="734"/>
      <c r="R49" s="734"/>
      <c r="S49" s="734"/>
      <c r="T49" s="734"/>
      <c r="U49" s="601"/>
      <c r="V49" s="734"/>
      <c r="W49" s="734"/>
      <c r="X49" s="734"/>
      <c r="Y49" s="734"/>
      <c r="Z49" s="155"/>
    </row>
    <row r="50" spans="2:29" ht="18.75" customHeight="1">
      <c r="B50" s="819" t="s">
        <v>275</v>
      </c>
      <c r="C50" s="819"/>
      <c r="D50" s="819"/>
      <c r="E50" s="819"/>
      <c r="F50" s="819"/>
      <c r="G50" s="819"/>
      <c r="H50" s="819"/>
      <c r="I50" s="819"/>
      <c r="J50" s="819"/>
      <c r="L50" s="789" t="s">
        <v>311</v>
      </c>
      <c r="M50" s="789"/>
      <c r="N50" s="789"/>
      <c r="Q50" s="734"/>
      <c r="R50" s="734"/>
      <c r="S50" s="734"/>
      <c r="T50" s="734"/>
      <c r="U50" s="601"/>
      <c r="V50" s="734"/>
      <c r="W50" s="734"/>
      <c r="X50" s="734"/>
      <c r="Y50" s="734"/>
      <c r="Z50" s="155"/>
    </row>
    <row r="51" spans="2:29" ht="18.75" customHeight="1" thickBot="1">
      <c r="B51" s="819"/>
      <c r="C51" s="819"/>
      <c r="D51" s="819"/>
      <c r="E51" s="819"/>
      <c r="F51" s="819"/>
      <c r="G51" s="819"/>
      <c r="H51" s="819"/>
      <c r="I51" s="819"/>
      <c r="J51" s="819"/>
      <c r="L51" s="789"/>
      <c r="M51" s="789"/>
      <c r="N51" s="789"/>
      <c r="Q51" s="638" t="s">
        <v>297</v>
      </c>
      <c r="S51" s="600"/>
      <c r="T51" s="600"/>
      <c r="U51" s="600"/>
      <c r="V51" s="640" t="s">
        <v>298</v>
      </c>
      <c r="W51" s="155"/>
      <c r="X51" s="155"/>
      <c r="Y51" s="155"/>
      <c r="Z51" s="155"/>
    </row>
    <row r="52" spans="2:29" ht="18.75" customHeight="1" thickBot="1">
      <c r="C52" s="825" t="s">
        <v>167</v>
      </c>
      <c r="D52" s="826"/>
      <c r="E52" s="826"/>
      <c r="F52" s="826"/>
      <c r="G52" s="827"/>
      <c r="H52" s="223" t="s">
        <v>147</v>
      </c>
      <c r="I52" s="223" t="s">
        <v>148</v>
      </c>
      <c r="J52" s="224" t="s">
        <v>0</v>
      </c>
      <c r="L52" s="743" t="s">
        <v>310</v>
      </c>
      <c r="M52" s="744"/>
      <c r="N52" s="224" t="s">
        <v>0</v>
      </c>
      <c r="Q52" s="737">
        <f>S38</f>
        <v>1777260</v>
      </c>
      <c r="R52" s="738"/>
      <c r="S52" s="739"/>
      <c r="U52" s="477"/>
      <c r="V52" s="740">
        <f>J48</f>
        <v>1594170</v>
      </c>
      <c r="W52" s="741"/>
      <c r="X52" s="742"/>
      <c r="Y52" s="155"/>
      <c r="Z52" s="155"/>
    </row>
    <row r="53" spans="2:29" ht="18.75" customHeight="1">
      <c r="C53" s="823" t="s">
        <v>169</v>
      </c>
      <c r="D53" s="155" t="s">
        <v>156</v>
      </c>
      <c r="G53" s="237"/>
      <c r="H53" s="238"/>
      <c r="J53" s="239"/>
      <c r="L53" s="648" t="s">
        <v>312</v>
      </c>
      <c r="M53" s="464"/>
      <c r="N53" s="651">
        <f>IF(【実地研修中の宿泊】=1,0,$J$32)</f>
        <v>427500</v>
      </c>
      <c r="Q53" s="155"/>
      <c r="R53" s="155"/>
      <c r="S53" s="155"/>
      <c r="T53" s="155"/>
      <c r="U53" s="155"/>
      <c r="V53" s="155"/>
      <c r="W53" s="600"/>
      <c r="X53" s="600"/>
      <c r="Y53" s="600"/>
      <c r="Z53" s="600"/>
    </row>
    <row r="54" spans="2:29" ht="18.75" customHeight="1">
      <c r="C54" s="823"/>
      <c r="E54" s="189" t="s">
        <v>157</v>
      </c>
      <c r="F54" s="190"/>
      <c r="G54" s="240" t="s">
        <v>158</v>
      </c>
      <c r="H54" s="192">
        <f t="shared" ref="H54:I57" si="7">H28</f>
        <v>11200</v>
      </c>
      <c r="I54" s="241">
        <f t="shared" si="7"/>
        <v>1</v>
      </c>
      <c r="J54" s="242">
        <f>H54*I54</f>
        <v>11200</v>
      </c>
      <c r="L54" s="648" t="s">
        <v>313</v>
      </c>
      <c r="M54" s="464"/>
      <c r="N54" s="652">
        <f>$J$33</f>
        <v>547200</v>
      </c>
      <c r="T54" s="254" t="s">
        <v>334</v>
      </c>
      <c r="U54" s="155"/>
      <c r="V54" s="155"/>
      <c r="W54" s="601"/>
      <c r="X54" s="601"/>
      <c r="Y54" s="601"/>
      <c r="Z54" s="601"/>
      <c r="AA54" s="600"/>
    </row>
    <row r="55" spans="2:29" ht="18.75" customHeight="1" thickBot="1">
      <c r="C55" s="823"/>
      <c r="D55" s="188"/>
      <c r="E55" s="189" t="s">
        <v>159</v>
      </c>
      <c r="F55" s="190"/>
      <c r="G55" s="240" t="s">
        <v>158</v>
      </c>
      <c r="H55" s="192">
        <f t="shared" si="7"/>
        <v>12200</v>
      </c>
      <c r="I55" s="243">
        <f t="shared" si="7"/>
        <v>40</v>
      </c>
      <c r="J55" s="242">
        <f>H55*I55</f>
        <v>488000</v>
      </c>
      <c r="L55" s="648" t="s">
        <v>314</v>
      </c>
      <c r="M55" s="464"/>
      <c r="N55" s="652">
        <f>$J$34</f>
        <v>214000</v>
      </c>
      <c r="Q55" s="637"/>
      <c r="R55" s="155"/>
      <c r="S55" s="155"/>
      <c r="T55" s="735">
        <f>Q52-V52</f>
        <v>183090</v>
      </c>
      <c r="U55" s="736"/>
      <c r="V55" s="155"/>
      <c r="W55" s="600"/>
      <c r="X55" s="600"/>
      <c r="Y55" s="600"/>
      <c r="Z55" s="600"/>
      <c r="AA55" s="601"/>
    </row>
    <row r="56" spans="2:29" ht="18.75" customHeight="1" thickTop="1">
      <c r="C56" s="823"/>
      <c r="E56" s="183" t="s">
        <v>160</v>
      </c>
      <c r="F56" s="244"/>
      <c r="G56" s="245" t="s">
        <v>161</v>
      </c>
      <c r="H56" s="198">
        <f t="shared" si="7"/>
        <v>14500</v>
      </c>
      <c r="I56" s="246">
        <f t="shared" si="7"/>
        <v>2</v>
      </c>
      <c r="J56" s="247">
        <f>H56*I56</f>
        <v>29000</v>
      </c>
      <c r="L56" s="648" t="s">
        <v>315</v>
      </c>
      <c r="M56" s="464"/>
      <c r="N56" s="652">
        <f>$J$36</f>
        <v>574560</v>
      </c>
      <c r="Q56" s="155"/>
      <c r="R56" s="155"/>
      <c r="S56" s="155"/>
      <c r="T56" s="155"/>
      <c r="U56" s="155"/>
      <c r="V56" s="155"/>
      <c r="AA56" s="600"/>
    </row>
    <row r="57" spans="2:29" ht="18.75" customHeight="1">
      <c r="C57" s="823"/>
      <c r="D57" s="170"/>
      <c r="E57" s="248"/>
      <c r="F57" s="249"/>
      <c r="G57" s="250" t="s">
        <v>22</v>
      </c>
      <c r="H57" s="202">
        <f t="shared" si="7"/>
        <v>3200</v>
      </c>
      <c r="I57" s="251">
        <f t="shared" si="7"/>
        <v>2</v>
      </c>
      <c r="J57" s="252">
        <f>H57*I57</f>
        <v>6400</v>
      </c>
      <c r="L57" s="648" t="s">
        <v>316</v>
      </c>
      <c r="M57" s="464"/>
      <c r="N57" s="652">
        <f>$M$17</f>
        <v>14000</v>
      </c>
      <c r="Q57" s="155"/>
      <c r="R57" s="155"/>
      <c r="S57" s="155"/>
      <c r="T57" s="468" t="s">
        <v>308</v>
      </c>
      <c r="X57" s="155"/>
      <c r="Y57" s="155"/>
      <c r="Z57" s="155"/>
      <c r="AA57" s="468"/>
    </row>
    <row r="58" spans="2:29" ht="18.75" customHeight="1">
      <c r="C58" s="823"/>
      <c r="D58" s="463" t="s">
        <v>273</v>
      </c>
      <c r="E58" s="190"/>
      <c r="F58" s="190"/>
      <c r="G58" s="240"/>
      <c r="H58" s="570" t="s">
        <v>274</v>
      </c>
      <c r="I58" s="243">
        <f>I35</f>
        <v>214</v>
      </c>
      <c r="J58" s="242">
        <f>J35</f>
        <v>36480</v>
      </c>
      <c r="L58" s="648" t="s">
        <v>337</v>
      </c>
      <c r="M58" s="464"/>
      <c r="N58" s="677" t="str">
        <f>J26</f>
        <v>補助対象外</v>
      </c>
      <c r="T58" s="155" t="s">
        <v>309</v>
      </c>
      <c r="U58" s="155"/>
      <c r="V58" s="155"/>
    </row>
    <row r="59" spans="2:29" ht="18.75" customHeight="1" thickBot="1">
      <c r="C59" s="824"/>
      <c r="D59" s="565" t="s">
        <v>162</v>
      </c>
      <c r="E59" s="213"/>
      <c r="F59" s="213"/>
      <c r="G59" s="566" t="s">
        <v>161</v>
      </c>
      <c r="H59" s="567">
        <f>IF(【実地研修中の宿泊】=1,$H$32,0)</f>
        <v>0</v>
      </c>
      <c r="I59" s="568">
        <f>IF(H59=0,0,$I$32)</f>
        <v>0</v>
      </c>
      <c r="J59" s="569">
        <f>H59*I59</f>
        <v>0</v>
      </c>
      <c r="L59" s="649"/>
      <c r="M59" s="214"/>
      <c r="N59" s="653"/>
      <c r="Q59" s="155"/>
      <c r="R59" s="155"/>
      <c r="S59" s="155"/>
      <c r="T59" s="732"/>
      <c r="U59" s="733"/>
      <c r="V59" s="733"/>
      <c r="W59" s="733"/>
      <c r="X59" s="733"/>
      <c r="Y59" s="733"/>
      <c r="Z59" s="733"/>
      <c r="AA59" s="468"/>
    </row>
    <row r="60" spans="2:29" ht="16.5" customHeight="1" thickBot="1">
      <c r="C60" s="796" t="s">
        <v>164</v>
      </c>
      <c r="D60" s="797"/>
      <c r="E60" s="797"/>
      <c r="F60" s="797"/>
      <c r="G60" s="797"/>
      <c r="H60" s="797"/>
      <c r="I60" s="798"/>
      <c r="J60" s="253">
        <f>SUM(J54:J59)</f>
        <v>571080</v>
      </c>
      <c r="K60" s="235" t="s">
        <v>306</v>
      </c>
      <c r="L60" s="730" t="s">
        <v>317</v>
      </c>
      <c r="M60" s="731"/>
      <c r="N60" s="650">
        <f>SUM(N53:N59)</f>
        <v>1777260</v>
      </c>
      <c r="O60" s="647" t="s">
        <v>297</v>
      </c>
      <c r="Q60" s="155"/>
      <c r="R60" s="155"/>
      <c r="S60" s="155"/>
      <c r="T60" s="733"/>
      <c r="U60" s="733"/>
      <c r="V60" s="733"/>
      <c r="W60" s="733"/>
      <c r="X60" s="733"/>
      <c r="Y60" s="733"/>
      <c r="Z60" s="733"/>
      <c r="AC60" s="605"/>
    </row>
    <row r="61" spans="2:29" ht="9" customHeight="1">
      <c r="C61" s="254"/>
      <c r="D61" s="254"/>
      <c r="E61" s="254"/>
      <c r="F61" s="254"/>
      <c r="G61" s="254"/>
      <c r="H61" s="254"/>
      <c r="I61" s="254"/>
      <c r="J61" s="255"/>
      <c r="L61" s="235"/>
      <c r="N61" s="236"/>
      <c r="W61" s="155"/>
      <c r="X61" s="155"/>
      <c r="Y61" s="155"/>
      <c r="Z61" s="155"/>
    </row>
    <row r="62" spans="2:29" ht="16.5" customHeight="1">
      <c r="B62" s="155" t="s">
        <v>284</v>
      </c>
    </row>
    <row r="63" spans="2:29" ht="17.100000000000001" customHeight="1">
      <c r="Q63" s="486" t="s">
        <v>322</v>
      </c>
      <c r="W63" s="155"/>
      <c r="X63" s="155"/>
      <c r="Y63" s="155"/>
      <c r="Z63" s="155"/>
      <c r="AA63" s="468"/>
      <c r="AB63" s="468"/>
      <c r="AC63" s="468"/>
    </row>
    <row r="64" spans="2:29" ht="17.100000000000001" customHeight="1">
      <c r="P64" s="166" t="s">
        <v>323</v>
      </c>
      <c r="Q64" s="665" t="s">
        <v>321</v>
      </c>
      <c r="W64" s="155"/>
      <c r="X64" s="155"/>
      <c r="Y64" s="155"/>
      <c r="Z64" s="155"/>
      <c r="AB64" s="468"/>
      <c r="AC64" s="468"/>
    </row>
    <row r="65" spans="16:30" ht="15" customHeight="1">
      <c r="Q65" s="468" t="s">
        <v>324</v>
      </c>
      <c r="X65" s="155"/>
      <c r="Y65" s="155"/>
      <c r="Z65" s="155"/>
      <c r="AD65" s="468"/>
    </row>
    <row r="66" spans="16:30" ht="13.5" customHeight="1">
      <c r="Q66" s="665">
        <f>V35-V30-V44</f>
        <v>183090</v>
      </c>
      <c r="Z66" s="155"/>
    </row>
    <row r="68" spans="16:30" ht="21" customHeight="1">
      <c r="P68" s="166" t="s">
        <v>323</v>
      </c>
      <c r="Q68" s="667" t="s">
        <v>327</v>
      </c>
    </row>
    <row r="69" spans="16:30" ht="13.5" customHeight="1">
      <c r="P69" s="669" t="s">
        <v>323</v>
      </c>
      <c r="Q69" s="729" t="s">
        <v>335</v>
      </c>
      <c r="R69" s="729"/>
      <c r="S69" s="729"/>
      <c r="T69" s="729"/>
      <c r="U69" s="729"/>
      <c r="V69" s="729"/>
      <c r="W69" s="729"/>
      <c r="X69" s="729"/>
      <c r="Y69" s="729"/>
      <c r="Z69" s="729"/>
    </row>
    <row r="70" spans="16:30" ht="13.5" customHeight="1">
      <c r="Q70" s="729"/>
      <c r="R70" s="729"/>
      <c r="S70" s="729"/>
      <c r="T70" s="729"/>
      <c r="U70" s="729"/>
      <c r="V70" s="729"/>
      <c r="W70" s="729"/>
      <c r="X70" s="729"/>
      <c r="Y70" s="729"/>
      <c r="Z70" s="729"/>
    </row>
    <row r="71" spans="16:30" ht="13.5" customHeight="1">
      <c r="Q71" s="729"/>
      <c r="R71" s="729"/>
      <c r="S71" s="729"/>
      <c r="T71" s="729"/>
      <c r="U71" s="729"/>
      <c r="V71" s="729"/>
      <c r="W71" s="729"/>
      <c r="X71" s="729"/>
      <c r="Y71" s="729"/>
      <c r="Z71" s="729"/>
    </row>
    <row r="72" spans="16:30" ht="13.5" customHeight="1">
      <c r="Q72" s="729"/>
      <c r="R72" s="729"/>
      <c r="S72" s="729"/>
      <c r="T72" s="729"/>
      <c r="U72" s="729"/>
      <c r="V72" s="729"/>
      <c r="W72" s="729"/>
      <c r="X72" s="729"/>
      <c r="Y72" s="729"/>
      <c r="Z72" s="729"/>
    </row>
    <row r="73" spans="16:30" ht="13.5" customHeight="1">
      <c r="P73" s="166"/>
      <c r="Q73" s="668" t="s">
        <v>328</v>
      </c>
      <c r="R73" s="668"/>
      <c r="S73" s="668"/>
      <c r="T73" s="668"/>
      <c r="U73" s="668"/>
      <c r="V73" s="668"/>
      <c r="W73" s="668"/>
    </row>
    <row r="74" spans="16:30" ht="15" customHeight="1">
      <c r="P74" s="166" t="s">
        <v>323</v>
      </c>
      <c r="Q74" s="468" t="s">
        <v>332</v>
      </c>
    </row>
    <row r="75" spans="16:30" ht="47.1" customHeight="1">
      <c r="P75" s="669" t="s">
        <v>323</v>
      </c>
      <c r="Q75" s="729" t="s">
        <v>329</v>
      </c>
      <c r="R75" s="729"/>
      <c r="S75" s="729"/>
      <c r="T75" s="729"/>
      <c r="U75" s="729"/>
      <c r="V75" s="729"/>
      <c r="W75" s="729"/>
      <c r="X75" s="729"/>
      <c r="Y75" s="729"/>
      <c r="Z75" s="729"/>
    </row>
    <row r="76" spans="16:30" ht="18.600000000000001" customHeight="1">
      <c r="Q76" s="729" t="s">
        <v>330</v>
      </c>
      <c r="R76" s="729"/>
      <c r="S76" s="729"/>
      <c r="T76" s="729"/>
      <c r="U76" s="729"/>
      <c r="V76" s="729"/>
      <c r="W76" s="729"/>
      <c r="X76" s="729"/>
      <c r="Y76" s="729"/>
      <c r="Z76" s="729"/>
    </row>
    <row r="77" spans="16:30" ht="13.5" customHeight="1">
      <c r="Q77" s="729"/>
      <c r="R77" s="729"/>
      <c r="S77" s="729"/>
      <c r="T77" s="729"/>
      <c r="U77" s="729"/>
      <c r="V77" s="729"/>
      <c r="W77" s="729"/>
      <c r="X77" s="729"/>
      <c r="Y77" s="729"/>
      <c r="Z77" s="729"/>
    </row>
    <row r="78" spans="16:30" ht="13.5" customHeight="1">
      <c r="P78" s="669" t="s">
        <v>323</v>
      </c>
      <c r="Q78" s="728" t="s">
        <v>331</v>
      </c>
      <c r="R78" s="728"/>
      <c r="S78" s="728"/>
      <c r="T78" s="728"/>
      <c r="U78" s="728"/>
      <c r="V78" s="728"/>
      <c r="W78" s="728"/>
      <c r="X78" s="728"/>
      <c r="Y78" s="728"/>
      <c r="Z78" s="728"/>
    </row>
  </sheetData>
  <sheetProtection formatCells="0"/>
  <mergeCells count="77">
    <mergeCell ref="F13:H13"/>
    <mergeCell ref="K37:L37"/>
    <mergeCell ref="U8:V8"/>
    <mergeCell ref="U15:V15"/>
    <mergeCell ref="U19:V19"/>
    <mergeCell ref="K33:L33"/>
    <mergeCell ref="K34:L34"/>
    <mergeCell ref="K26:L26"/>
    <mergeCell ref="K27:L27"/>
    <mergeCell ref="M31:N31"/>
    <mergeCell ref="K28:L28"/>
    <mergeCell ref="K29:L29"/>
    <mergeCell ref="K30:L30"/>
    <mergeCell ref="Q26:S26"/>
    <mergeCell ref="K36:L36"/>
    <mergeCell ref="K31:L31"/>
    <mergeCell ref="C45:C47"/>
    <mergeCell ref="C44:G44"/>
    <mergeCell ref="B38:I38"/>
    <mergeCell ref="B50:J51"/>
    <mergeCell ref="B26:B37"/>
    <mergeCell ref="C60:I60"/>
    <mergeCell ref="C48:I48"/>
    <mergeCell ref="F5:I5"/>
    <mergeCell ref="K24:L24"/>
    <mergeCell ref="M39:N39"/>
    <mergeCell ref="J24:J25"/>
    <mergeCell ref="I24:I25"/>
    <mergeCell ref="B24:G25"/>
    <mergeCell ref="H24:H25"/>
    <mergeCell ref="C27:C34"/>
    <mergeCell ref="K39:L39"/>
    <mergeCell ref="M24:N24"/>
    <mergeCell ref="B22:N23"/>
    <mergeCell ref="K38:L38"/>
    <mergeCell ref="C53:C59"/>
    <mergeCell ref="C52:G52"/>
    <mergeCell ref="Q39:S40"/>
    <mergeCell ref="Q48:T50"/>
    <mergeCell ref="U39:V40"/>
    <mergeCell ref="M37:N37"/>
    <mergeCell ref="K32:L32"/>
    <mergeCell ref="U31:V32"/>
    <mergeCell ref="K35:L35"/>
    <mergeCell ref="L50:N51"/>
    <mergeCell ref="M38:N38"/>
    <mergeCell ref="M32:N32"/>
    <mergeCell ref="M33:N33"/>
    <mergeCell ref="M36:N36"/>
    <mergeCell ref="M34:N34"/>
    <mergeCell ref="M3:N3"/>
    <mergeCell ref="U11:V11"/>
    <mergeCell ref="M35:N35"/>
    <mergeCell ref="M26:N26"/>
    <mergeCell ref="M27:N27"/>
    <mergeCell ref="M28:N28"/>
    <mergeCell ref="M29:N29"/>
    <mergeCell ref="M30:N30"/>
    <mergeCell ref="F7:M7"/>
    <mergeCell ref="F9:G9"/>
    <mergeCell ref="F16:G16"/>
    <mergeCell ref="M17:M18"/>
    <mergeCell ref="N17:N18"/>
    <mergeCell ref="U26:V27"/>
    <mergeCell ref="L17:L18"/>
    <mergeCell ref="L9:M9"/>
    <mergeCell ref="Q78:Z78"/>
    <mergeCell ref="Q69:Z72"/>
    <mergeCell ref="L60:M60"/>
    <mergeCell ref="T59:Z60"/>
    <mergeCell ref="V48:Y50"/>
    <mergeCell ref="T55:U55"/>
    <mergeCell ref="Q75:Z75"/>
    <mergeCell ref="Q76:Z77"/>
    <mergeCell ref="Q52:S52"/>
    <mergeCell ref="V52:X52"/>
    <mergeCell ref="L52:M52"/>
  </mergeCells>
  <phoneticPr fontId="2"/>
  <conditionalFormatting sqref="M11 M17">
    <cfRule type="cellIs" dxfId="31" priority="2" stopIfTrue="1" operator="equal">
      <formula>0</formula>
    </cfRule>
  </conditionalFormatting>
  <conditionalFormatting sqref="M26:N26">
    <cfRule type="cellIs" dxfId="30" priority="1" operator="greaterThan">
      <formula>0</formula>
    </cfRule>
  </conditionalFormatting>
  <dataValidations xWindow="403" yWindow="205" count="2">
    <dataValidation imeMode="off" allowBlank="1" showInputMessage="1" showErrorMessage="1" sqref="F12 M14:M16 H16 G15 M10" xr:uid="{00000000-0002-0000-0000-000000000000}"/>
    <dataValidation type="date" imeMode="off" operator="greaterThanOrEqual" allowBlank="1" showErrorMessage="1" sqref="M3" xr:uid="{00000000-0002-0000-0000-000001000000}">
      <formula1>1</formula1>
    </dataValidation>
  </dataValidations>
  <printOptions horizontalCentered="1"/>
  <pageMargins left="0.39370078740157483" right="0.35433070866141736" top="0.47244094488188981" bottom="0.27559055118110237" header="0.27559055118110237" footer="0"/>
  <pageSetup paperSize="8" scale="75" orientation="landscape" r:id="rId1"/>
  <headerFooter alignWithMargins="0">
    <oddHeader>&amp;R費用試算（J6W）：2022年度版</oddHeader>
  </headerFooter>
  <drawing r:id="rId2"/>
  <legacyDrawing r:id="rId3"/>
  <extLst>
    <ext xmlns:x14="http://schemas.microsoft.com/office/spreadsheetml/2009/9/main" uri="{CCE6A557-97BC-4b89-ADB6-D9C93CAAB3DF}">
      <x14:dataValidations xmlns:xm="http://schemas.microsoft.com/office/excel/2006/main" xWindow="403" yWindow="205" count="3">
        <x14:dataValidation type="list" allowBlank="1" showInputMessage="1" showErrorMessage="1" xr:uid="{5727B13B-D553-4483-9B59-251DF295A70B}">
          <x14:formula1>
            <xm:f>'6W計算シート'!$C$36:$C$43</xm:f>
          </x14:formula1>
          <xm:sqref>F7:M7</xm:sqref>
        </x14:dataValidation>
        <x14:dataValidation type="list" allowBlank="1" showInputMessage="1" showErrorMessage="1" xr:uid="{30F14ED8-62F6-42DA-8A8D-C02857E98F48}">
          <x14:formula1>
            <xm:f>'6W計算シート'!$C$26:$C$28</xm:f>
          </x14:formula1>
          <xm:sqref>L9:M9</xm:sqref>
        </x14:dataValidation>
        <x14:dataValidation type="list" allowBlank="1" showInputMessage="1" showErrorMessage="1" xr:uid="{02C65CEE-F75D-430F-B3E2-55B154545DC2}">
          <x14:formula1>
            <xm:f>'6W計算シート'!$C$50:$C$61</xm:f>
          </x14:formula1>
          <xm:sqref>F13:H13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EAC4-2E85-4196-A702-2F3F41A742B0}">
  <sheetPr>
    <pageSetUpPr fitToPage="1"/>
  </sheetPr>
  <dimension ref="A1:Z67"/>
  <sheetViews>
    <sheetView showGridLines="0" topLeftCell="A25" zoomScale="70" zoomScaleNormal="70" workbookViewId="0">
      <selection activeCell="W57" sqref="W57"/>
    </sheetView>
  </sheetViews>
  <sheetFormatPr defaultColWidth="9" defaultRowHeight="13.5" customHeight="1"/>
  <cols>
    <col min="1" max="2" width="5.6640625" style="155" customWidth="1"/>
    <col min="3" max="3" width="6" style="155" customWidth="1"/>
    <col min="4" max="4" width="3.109375" style="155" customWidth="1"/>
    <col min="5" max="5" width="6.6640625" style="155" customWidth="1"/>
    <col min="6" max="6" width="8.6640625" style="155" customWidth="1"/>
    <col min="7" max="7" width="12.77734375" style="155" customWidth="1"/>
    <col min="8" max="9" width="8.6640625" style="155" customWidth="1"/>
    <col min="10" max="10" width="15.109375" style="155" customWidth="1"/>
    <col min="11" max="11" width="8.6640625" style="155" customWidth="1"/>
    <col min="12" max="12" width="9.6640625" style="155" customWidth="1"/>
    <col min="13" max="13" width="8.6640625" style="155" customWidth="1"/>
    <col min="14" max="14" width="9.6640625" style="155" customWidth="1"/>
    <col min="15" max="15" width="10.6640625" style="155" customWidth="1"/>
    <col min="16" max="16" width="10.21875" style="155" customWidth="1"/>
    <col min="17" max="17" width="15.6640625" style="468" customWidth="1"/>
    <col min="18" max="18" width="4.77734375" style="468" customWidth="1"/>
    <col min="19" max="19" width="10.6640625" style="468" customWidth="1"/>
    <col min="20" max="20" width="5.6640625" style="468" customWidth="1"/>
    <col min="21" max="21" width="12.6640625" style="468" customWidth="1"/>
    <col min="22" max="22" width="10.6640625" style="468" customWidth="1"/>
    <col min="23" max="23" width="13.6640625" style="468" customWidth="1"/>
    <col min="24" max="24" width="10.6640625" style="468" customWidth="1"/>
    <col min="25" max="25" width="15.21875" style="468" customWidth="1"/>
    <col min="26" max="26" width="12.6640625" style="468" customWidth="1"/>
    <col min="27" max="27" width="4.44140625" style="155" customWidth="1"/>
    <col min="28" max="16384" width="9" style="155"/>
  </cols>
  <sheetData>
    <row r="1" spans="1:26" ht="20.100000000000001" customHeight="1">
      <c r="A1" s="154" t="s">
        <v>234</v>
      </c>
      <c r="Q1" s="155"/>
      <c r="R1" s="155"/>
      <c r="S1" s="155"/>
      <c r="T1" s="155"/>
      <c r="U1" s="155"/>
      <c r="V1" s="155"/>
      <c r="W1" s="155"/>
      <c r="X1" s="155"/>
      <c r="Y1" s="155"/>
      <c r="Z1" s="155"/>
    </row>
    <row r="2" spans="1:26" ht="18.75" customHeight="1">
      <c r="Q2" s="155"/>
      <c r="R2" s="155"/>
      <c r="S2" s="155"/>
      <c r="T2" s="155"/>
      <c r="U2" s="155"/>
      <c r="V2" s="155"/>
      <c r="W2" s="155"/>
      <c r="X2" s="155"/>
      <c r="Y2" s="155"/>
      <c r="Z2" s="155"/>
    </row>
    <row r="3" spans="1:26" ht="18.75" customHeight="1">
      <c r="A3" s="154" t="s">
        <v>216</v>
      </c>
      <c r="E3" s="152"/>
      <c r="F3" s="156" t="s">
        <v>217</v>
      </c>
      <c r="G3" s="152" t="str">
        <f>"("&amp;'6W計算シート'!B2&amp;")"</f>
        <v>(6W)</v>
      </c>
      <c r="L3" s="157" t="s">
        <v>220</v>
      </c>
      <c r="M3" s="745">
        <f ca="1">TODAY()</f>
        <v>46248</v>
      </c>
      <c r="N3" s="745"/>
      <c r="Q3" s="441" t="s">
        <v>174</v>
      </c>
      <c r="R3" s="155"/>
      <c r="S3" s="155"/>
      <c r="T3" s="155"/>
      <c r="U3" s="155"/>
      <c r="V3" s="155"/>
      <c r="W3" s="155"/>
      <c r="X3" s="155"/>
      <c r="Y3" s="155"/>
      <c r="Z3" s="155"/>
    </row>
    <row r="4" spans="1:26" ht="18.75" customHeight="1">
      <c r="A4" s="158"/>
      <c r="Q4" s="155"/>
      <c r="R4" s="155"/>
      <c r="S4" s="155"/>
      <c r="T4" s="155"/>
      <c r="U4" s="155"/>
      <c r="V4" s="155"/>
      <c r="W4" s="155"/>
      <c r="X4" s="155"/>
      <c r="Y4" s="155"/>
      <c r="Z4" s="155"/>
    </row>
    <row r="5" spans="1:26" ht="18.75" customHeight="1">
      <c r="A5" s="166" t="s">
        <v>121</v>
      </c>
      <c r="B5" s="155" t="s">
        <v>122</v>
      </c>
      <c r="F5" s="799"/>
      <c r="G5" s="799"/>
      <c r="H5" s="799"/>
      <c r="I5" s="799"/>
      <c r="Q5" s="442"/>
      <c r="R5" s="443" t="s">
        <v>175</v>
      </c>
      <c r="S5" s="444"/>
      <c r="T5" s="443" t="s">
        <v>146</v>
      </c>
      <c r="U5" s="445"/>
      <c r="V5" s="444"/>
      <c r="W5" s="446" t="s">
        <v>177</v>
      </c>
      <c r="X5" s="443" t="s">
        <v>178</v>
      </c>
      <c r="Y5" s="445"/>
      <c r="Z5" s="444"/>
    </row>
    <row r="6" spans="1:26" ht="18.75" customHeight="1">
      <c r="A6" s="159"/>
      <c r="Q6" s="447" t="s">
        <v>179</v>
      </c>
      <c r="R6" s="448" t="s">
        <v>180</v>
      </c>
      <c r="S6" s="449"/>
      <c r="T6" s="448" t="s">
        <v>97</v>
      </c>
      <c r="U6" s="450"/>
      <c r="V6" s="449"/>
      <c r="W6" s="451" t="str">
        <f>J26</f>
        <v>補助対象外</v>
      </c>
      <c r="X6" s="448" t="s">
        <v>182</v>
      </c>
      <c r="Y6" s="450"/>
      <c r="Z6" s="452"/>
    </row>
    <row r="7" spans="1:26" ht="18.75" customHeight="1">
      <c r="A7" s="166" t="s">
        <v>123</v>
      </c>
      <c r="B7" s="155" t="s">
        <v>124</v>
      </c>
      <c r="Q7" s="453"/>
      <c r="R7" s="454" t="s">
        <v>183</v>
      </c>
      <c r="S7" s="455"/>
      <c r="T7" s="454" t="s">
        <v>184</v>
      </c>
      <c r="U7" s="456"/>
      <c r="V7" s="455"/>
      <c r="W7" s="457">
        <f>J37</f>
        <v>6000</v>
      </c>
      <c r="X7" s="454" t="s">
        <v>253</v>
      </c>
      <c r="Y7" s="456"/>
      <c r="Z7" s="458"/>
    </row>
    <row r="8" spans="1:26" ht="18.75" customHeight="1" thickBot="1">
      <c r="A8" s="159"/>
      <c r="I8" s="847" t="s">
        <v>125</v>
      </c>
      <c r="J8" s="848" t="s">
        <v>126</v>
      </c>
      <c r="K8" s="848"/>
      <c r="L8" s="848"/>
      <c r="Q8" s="155"/>
      <c r="R8" s="155"/>
      <c r="S8" s="155"/>
      <c r="T8" s="155"/>
      <c r="U8" s="746" t="s">
        <v>185</v>
      </c>
      <c r="V8" s="747"/>
      <c r="W8" s="459">
        <f>SUM(W6:W7)</f>
        <v>6000</v>
      </c>
      <c r="X8" s="155"/>
      <c r="Y8" s="155"/>
      <c r="Z8"/>
    </row>
    <row r="9" spans="1:26" ht="18.75" customHeight="1">
      <c r="A9" s="166" t="s">
        <v>127</v>
      </c>
      <c r="B9" s="155" t="s">
        <v>128</v>
      </c>
      <c r="F9" s="759">
        <f>'6W計算シート'!$C$5</f>
        <v>46400</v>
      </c>
      <c r="G9" s="759"/>
      <c r="I9" s="847"/>
      <c r="J9" s="848"/>
      <c r="K9" s="848"/>
      <c r="L9" s="848"/>
      <c r="Q9" s="155"/>
      <c r="R9" s="155"/>
      <c r="S9" s="155"/>
      <c r="T9" s="155"/>
      <c r="U9" s="155"/>
      <c r="V9" s="155"/>
      <c r="W9" s="460"/>
      <c r="X9" s="155"/>
      <c r="Y9" s="155"/>
      <c r="Z9" s="155"/>
    </row>
    <row r="10" spans="1:26" ht="18.75" customHeight="1">
      <c r="A10" s="159"/>
      <c r="J10" s="160" t="s">
        <v>129</v>
      </c>
      <c r="M10" s="258"/>
      <c r="N10" s="1" t="s">
        <v>130</v>
      </c>
      <c r="Q10" s="461" t="s">
        <v>98</v>
      </c>
      <c r="R10" s="462" t="s">
        <v>187</v>
      </c>
      <c r="S10" s="462"/>
      <c r="T10" s="463" t="s">
        <v>188</v>
      </c>
      <c r="U10" s="184"/>
      <c r="V10" s="464"/>
      <c r="W10" s="465">
        <f>IF('6W計算シート'!$B$24=3,$J$32,0)</f>
        <v>0</v>
      </c>
      <c r="X10" s="463" t="s">
        <v>189</v>
      </c>
      <c r="Y10" s="184"/>
      <c r="Z10" s="466"/>
    </row>
    <row r="11" spans="1:26" ht="18.75" customHeight="1" thickBot="1">
      <c r="A11" s="166" t="s">
        <v>131</v>
      </c>
      <c r="B11" s="155" t="s">
        <v>225</v>
      </c>
      <c r="F11" s="522">
        <v>364</v>
      </c>
      <c r="G11" s="1" t="s">
        <v>99</v>
      </c>
      <c r="J11" s="161" t="str">
        <f>"補助対象宿泊費 (上限"&amp;TEXT(【宿舎費_外部宿舎】,"#,###")&amp;"円／泊)："</f>
        <v>補助対象宿泊費 (上限6,280円／泊)：</v>
      </c>
      <c r="K11"/>
      <c r="M11" s="162">
        <f>IF($M$10&gt;【宿舎費_外部宿舎】,【宿舎費_外部宿舎】,$M$10)</f>
        <v>0</v>
      </c>
      <c r="N11" s="163" t="s">
        <v>130</v>
      </c>
      <c r="Q11" s="467"/>
      <c r="R11" s="155"/>
      <c r="S11" s="155"/>
      <c r="T11" s="155"/>
      <c r="U11" s="746" t="s">
        <v>223</v>
      </c>
      <c r="V11" s="747"/>
      <c r="W11" s="459">
        <f>SUM(W10:W10)</f>
        <v>0</v>
      </c>
      <c r="X11" s="155"/>
      <c r="Y11" s="155"/>
      <c r="Z11"/>
    </row>
    <row r="12" spans="1:26" ht="18.75" customHeight="1">
      <c r="A12" s="159"/>
      <c r="B12" s="155" t="s">
        <v>226</v>
      </c>
      <c r="F12" s="521">
        <f>$F$11+1</f>
        <v>365</v>
      </c>
      <c r="G12" s="1" t="s">
        <v>229</v>
      </c>
      <c r="Q12" s="155"/>
      <c r="R12" s="155"/>
      <c r="S12" s="155"/>
      <c r="T12" s="155"/>
      <c r="U12" s="155"/>
      <c r="V12" s="155"/>
      <c r="W12" s="460"/>
      <c r="X12" s="155"/>
      <c r="Y12" s="155"/>
      <c r="Z12" s="155"/>
    </row>
    <row r="13" spans="1:26" ht="18.75" customHeight="1">
      <c r="A13" s="159"/>
      <c r="B13" s="164" t="s">
        <v>235</v>
      </c>
      <c r="C13" s="1"/>
      <c r="D13" s="165"/>
      <c r="I13" s="159" t="s">
        <v>134</v>
      </c>
      <c r="J13" t="s">
        <v>248</v>
      </c>
      <c r="Q13" s="167" t="s">
        <v>190</v>
      </c>
      <c r="R13" s="167" t="s">
        <v>191</v>
      </c>
      <c r="S13" s="168"/>
      <c r="T13" s="448" t="s">
        <v>192</v>
      </c>
      <c r="U13" s="450"/>
      <c r="V13" s="449"/>
      <c r="W13" s="451">
        <f>J33</f>
        <v>547200</v>
      </c>
      <c r="X13" s="448" t="s">
        <v>193</v>
      </c>
      <c r="Y13" s="450"/>
      <c r="Z13" s="449"/>
    </row>
    <row r="14" spans="1:26" ht="18.75" customHeight="1">
      <c r="A14" s="159"/>
      <c r="B14" s="164" t="s">
        <v>133</v>
      </c>
      <c r="F14" s="3" t="str">
        <f>IF('6W計算シート'!$C$12=0,"(0日)",TEXT('6W計算シート'!$C$12,"yyyy/m/d")&amp;"～"&amp;TEXT('6W計算シート'!$C$14,"yyyy/m/d")&amp;"("&amp;'6W計算シート'!$C$13&amp;"日)")</f>
        <v>2027/2/25～2027/8/14(171日)</v>
      </c>
      <c r="J14" s="164" t="s">
        <v>135</v>
      </c>
      <c r="K14" s="1"/>
      <c r="L14" s="1"/>
      <c r="M14" s="42">
        <v>1000</v>
      </c>
      <c r="N14" s="3" t="s">
        <v>136</v>
      </c>
      <c r="Q14" s="169"/>
      <c r="R14" s="169"/>
      <c r="S14" s="170"/>
      <c r="T14" s="454" t="s">
        <v>100</v>
      </c>
      <c r="U14" s="456"/>
      <c r="V14" s="455"/>
      <c r="W14" s="457">
        <f>J34</f>
        <v>365000</v>
      </c>
      <c r="X14" s="454" t="s">
        <v>193</v>
      </c>
      <c r="Y14" s="456"/>
      <c r="Z14" s="455"/>
    </row>
    <row r="15" spans="1:26" ht="18.75" customHeight="1" thickBot="1">
      <c r="A15" s="159"/>
      <c r="J15" s="164" t="s">
        <v>138</v>
      </c>
      <c r="K15" s="1"/>
      <c r="L15" s="1"/>
      <c r="M15" s="42">
        <v>2000</v>
      </c>
      <c r="N15" s="3" t="s">
        <v>136</v>
      </c>
      <c r="Q15" s="155"/>
      <c r="R15" s="155"/>
      <c r="S15" s="155"/>
      <c r="T15" s="155"/>
      <c r="U15" s="746" t="s">
        <v>185</v>
      </c>
      <c r="V15" s="747"/>
      <c r="W15" s="459">
        <f>SUM(W13:W14)</f>
        <v>912200</v>
      </c>
      <c r="X15" s="155"/>
      <c r="Y15" s="155"/>
      <c r="Z15"/>
    </row>
    <row r="16" spans="1:26" ht="18.75" customHeight="1">
      <c r="A16" s="166" t="s">
        <v>140</v>
      </c>
      <c r="B16" s="155" t="s">
        <v>141</v>
      </c>
      <c r="F16" s="760"/>
      <c r="G16" s="760"/>
      <c r="H16" s="155" t="s">
        <v>136</v>
      </c>
      <c r="J16" s="164" t="s">
        <v>139</v>
      </c>
      <c r="K16" s="1"/>
      <c r="L16" s="1"/>
      <c r="M16" s="42">
        <v>3000</v>
      </c>
      <c r="N16" s="3" t="s">
        <v>136</v>
      </c>
      <c r="Q16" s="155"/>
      <c r="R16" s="155"/>
      <c r="S16" s="155"/>
      <c r="T16" s="155"/>
      <c r="U16" s="155"/>
      <c r="V16" s="155"/>
      <c r="W16" s="460"/>
      <c r="X16" s="155"/>
      <c r="Y16" s="155"/>
      <c r="Z16" s="155"/>
    </row>
    <row r="17" spans="1:26" ht="18.75" customHeight="1">
      <c r="B17" s="171" t="s">
        <v>291</v>
      </c>
      <c r="L17" s="767" t="s">
        <v>101</v>
      </c>
      <c r="M17" s="761">
        <f>SUM(M14:M16)</f>
        <v>6000</v>
      </c>
      <c r="N17" s="762" t="s">
        <v>136</v>
      </c>
      <c r="Q17" s="167" t="s">
        <v>195</v>
      </c>
      <c r="R17" s="167" t="s">
        <v>196</v>
      </c>
      <c r="S17" s="168"/>
      <c r="T17" s="448" t="s">
        <v>143</v>
      </c>
      <c r="U17" s="450"/>
      <c r="V17" s="449"/>
      <c r="W17" s="451">
        <f>J36</f>
        <v>574560</v>
      </c>
      <c r="X17" s="450" t="s">
        <v>198</v>
      </c>
      <c r="Y17" s="450"/>
      <c r="Z17" s="449"/>
    </row>
    <row r="18" spans="1:26" ht="18.75" customHeight="1">
      <c r="A18" s="159"/>
      <c r="B18" s="171" t="s">
        <v>292</v>
      </c>
      <c r="L18" s="767"/>
      <c r="M18" s="761"/>
      <c r="N18" s="762"/>
      <c r="Q18" s="169"/>
      <c r="R18" s="169"/>
      <c r="S18" s="170"/>
      <c r="T18" s="454" t="s">
        <v>199</v>
      </c>
      <c r="U18" s="456"/>
      <c r="V18" s="455"/>
      <c r="W18" s="457">
        <f>IF('6W計算シート'!$B$24=2,$J$32,0)</f>
        <v>0</v>
      </c>
      <c r="X18" s="454" t="s">
        <v>200</v>
      </c>
      <c r="Y18" s="456"/>
      <c r="Z18" s="458"/>
    </row>
    <row r="19" spans="1:26" ht="18.75" customHeight="1" thickBot="1">
      <c r="M19" s="172"/>
      <c r="N19" s="1" t="s">
        <v>218</v>
      </c>
      <c r="Q19" s="155"/>
      <c r="R19" s="155"/>
      <c r="S19" s="155"/>
      <c r="T19" s="155"/>
      <c r="U19" s="746" t="s">
        <v>185</v>
      </c>
      <c r="V19" s="746"/>
      <c r="W19" s="459">
        <f>SUM(W17:W18)</f>
        <v>574560</v>
      </c>
      <c r="X19" s="155"/>
      <c r="Y19" s="155"/>
      <c r="Z19"/>
    </row>
    <row r="20" spans="1:26" ht="16.5" customHeight="1">
      <c r="I20" s="173"/>
      <c r="M20" s="173"/>
      <c r="N20" s="173"/>
      <c r="Q20" s="155"/>
      <c r="R20" s="155"/>
      <c r="S20" s="155"/>
      <c r="T20" s="155"/>
      <c r="U20" s="155"/>
      <c r="V20" s="155"/>
      <c r="W20" s="155"/>
      <c r="X20" s="155"/>
      <c r="Y20" s="155"/>
      <c r="Z20" s="155"/>
    </row>
    <row r="21" spans="1:26" ht="16.5" customHeight="1">
      <c r="A21" s="154" t="s">
        <v>144</v>
      </c>
      <c r="B21" s="260"/>
      <c r="C21" s="260"/>
      <c r="D21" s="260"/>
      <c r="K21" s="174"/>
      <c r="M21" s="175"/>
    </row>
    <row r="22" spans="1:26" ht="16.5" customHeight="1">
      <c r="A22" s="260"/>
      <c r="B22" s="819" t="s">
        <v>145</v>
      </c>
      <c r="C22" s="819"/>
      <c r="D22" s="819"/>
      <c r="E22" s="819"/>
      <c r="F22" s="819"/>
      <c r="G22" s="819"/>
      <c r="H22" s="819"/>
      <c r="I22" s="819"/>
      <c r="J22" s="819"/>
      <c r="K22" s="819"/>
      <c r="L22" s="819"/>
      <c r="M22" s="819"/>
      <c r="N22" s="819"/>
    </row>
    <row r="23" spans="1:26" ht="16.5" customHeight="1" thickBot="1">
      <c r="B23" s="820"/>
      <c r="C23" s="820"/>
      <c r="D23" s="820"/>
      <c r="E23" s="820"/>
      <c r="F23" s="820"/>
      <c r="G23" s="820"/>
      <c r="H23" s="820"/>
      <c r="I23" s="820"/>
      <c r="J23" s="820"/>
      <c r="K23" s="820"/>
      <c r="L23" s="820"/>
      <c r="M23" s="820"/>
      <c r="N23" s="820"/>
    </row>
    <row r="24" spans="1:26" ht="16.5" customHeight="1">
      <c r="B24" s="807" t="s">
        <v>146</v>
      </c>
      <c r="C24" s="808"/>
      <c r="D24" s="808"/>
      <c r="E24" s="808"/>
      <c r="F24" s="808"/>
      <c r="G24" s="809"/>
      <c r="H24" s="805" t="s">
        <v>147</v>
      </c>
      <c r="I24" s="805" t="s">
        <v>96</v>
      </c>
      <c r="J24" s="803" t="s">
        <v>0</v>
      </c>
      <c r="K24" s="800" t="s">
        <v>149</v>
      </c>
      <c r="L24" s="801"/>
      <c r="M24" s="817" t="s">
        <v>150</v>
      </c>
      <c r="N24" s="818"/>
    </row>
    <row r="25" spans="1:26" ht="16.5" customHeight="1" thickBot="1">
      <c r="B25" s="810"/>
      <c r="C25" s="811"/>
      <c r="D25" s="811"/>
      <c r="E25" s="811"/>
      <c r="F25" s="811"/>
      <c r="G25" s="812"/>
      <c r="H25" s="806"/>
      <c r="I25" s="806"/>
      <c r="J25" s="804"/>
      <c r="K25" s="176" t="s">
        <v>151</v>
      </c>
      <c r="L25" s="177">
        <f>VLOOKUP(【研修申込区分】,【研修申込区分別費用】,3,FALSE)</f>
        <v>0.5</v>
      </c>
      <c r="M25" s="178" t="s">
        <v>152</v>
      </c>
      <c r="N25" s="179">
        <f>VLOOKUP(【研修申込区分】,【研修申込区分別費用】,4,FALSE)</f>
        <v>0.5</v>
      </c>
      <c r="Q25" s="441" t="s">
        <v>236</v>
      </c>
      <c r="R25" s="441"/>
      <c r="S25" s="441"/>
      <c r="T25" s="441"/>
      <c r="U25" s="155"/>
      <c r="V25" s="155"/>
      <c r="W25" s="155"/>
      <c r="X25" s="155"/>
      <c r="Y25" s="155"/>
      <c r="Z25" s="155"/>
    </row>
    <row r="26" spans="1:26" ht="18.75" customHeight="1">
      <c r="B26" s="830" t="s">
        <v>153</v>
      </c>
      <c r="C26" s="155" t="s">
        <v>97</v>
      </c>
      <c r="G26" s="180" t="s">
        <v>0</v>
      </c>
      <c r="H26" s="181"/>
      <c r="I26" s="182" t="s">
        <v>82</v>
      </c>
      <c r="J26" s="525" t="str">
        <f>IF(OR(【研修申込区分】=4,【研修申込区分】=5),$F$16,"補助対象外")</f>
        <v>補助対象外</v>
      </c>
      <c r="K26" s="837" t="str">
        <f>IF(OR('6W計算シート'!B33=4,'6W計算シート'!B33=5),ROUNDDOWN(J26*$L$25,0),"補助対象外")</f>
        <v>補助対象外</v>
      </c>
      <c r="L26" s="838"/>
      <c r="M26" s="750" t="str">
        <f>IF(OR('6W計算シート'!B33=4,'6W計算シート'!B33=5),ROUNDUP(J26*$N$25,0),"補助対象外")</f>
        <v>補助対象外</v>
      </c>
      <c r="N26" s="751"/>
      <c r="Q26" s="155"/>
      <c r="R26" s="155"/>
      <c r="S26" s="155"/>
      <c r="T26" s="155"/>
      <c r="U26" s="155"/>
      <c r="V26" s="155"/>
      <c r="W26" s="155"/>
      <c r="X26" s="155"/>
      <c r="Y26" s="155"/>
      <c r="Z26" s="155"/>
    </row>
    <row r="27" spans="1:26" ht="18.75" customHeight="1">
      <c r="B27" s="828"/>
      <c r="C27" s="813" t="s">
        <v>117</v>
      </c>
      <c r="D27" s="183" t="s">
        <v>109</v>
      </c>
      <c r="E27" s="184"/>
      <c r="F27" s="184"/>
      <c r="G27" s="185"/>
      <c r="H27" s="186"/>
      <c r="I27" s="187"/>
      <c r="J27" s="187"/>
      <c r="K27" s="839"/>
      <c r="L27" s="752"/>
      <c r="M27" s="752"/>
      <c r="N27" s="753"/>
      <c r="U27" s="469"/>
    </row>
    <row r="28" spans="1:26" ht="18.75" customHeight="1">
      <c r="B28" s="828"/>
      <c r="C28" s="814"/>
      <c r="D28" s="188"/>
      <c r="E28" s="189" t="s">
        <v>157</v>
      </c>
      <c r="F28" s="190"/>
      <c r="G28" s="191" t="s">
        <v>158</v>
      </c>
      <c r="H28" s="192">
        <f>【宿舎費_研修センター】+【食費_夕食】+【食費_朝食】</f>
        <v>11200</v>
      </c>
      <c r="I28" s="193">
        <v>1</v>
      </c>
      <c r="J28" s="259">
        <f t="shared" ref="J28:J36" si="0">H28*I28</f>
        <v>11200</v>
      </c>
      <c r="K28" s="840">
        <f t="shared" ref="K28:K37" si="1">ROUNDDOWN(J28*$L$25,0)</f>
        <v>5600</v>
      </c>
      <c r="L28" s="841"/>
      <c r="M28" s="754">
        <f t="shared" ref="M28:M37" si="2">ROUNDUP(J28*$N$25,0)</f>
        <v>5600</v>
      </c>
      <c r="N28" s="755"/>
      <c r="Q28" s="470" t="s">
        <v>285</v>
      </c>
      <c r="S28" s="471" t="s">
        <v>201</v>
      </c>
      <c r="T28" s="471"/>
      <c r="U28" s="471"/>
      <c r="W28" s="472"/>
      <c r="Y28" s="473"/>
      <c r="Z28" s="473"/>
    </row>
    <row r="29" spans="1:26" ht="18.75" customHeight="1" thickBot="1">
      <c r="B29" s="828"/>
      <c r="C29" s="814"/>
      <c r="D29" s="188"/>
      <c r="E29" s="189" t="s">
        <v>159</v>
      </c>
      <c r="F29" s="190"/>
      <c r="G29" s="194" t="s">
        <v>158</v>
      </c>
      <c r="H29" s="195">
        <f>【宿舎費_研修センター】+【食費_昼食】+【食費_夕食】+【食費_朝食】</f>
        <v>12200</v>
      </c>
      <c r="I29" s="196">
        <f>VLOOKUP('6W計算シート'!B47,【日程表】,6,FALSE)-I28-I30</f>
        <v>40</v>
      </c>
      <c r="J29" s="197">
        <f t="shared" si="0"/>
        <v>488000</v>
      </c>
      <c r="K29" s="787">
        <f t="shared" si="1"/>
        <v>244000</v>
      </c>
      <c r="L29" s="788"/>
      <c r="M29" s="748">
        <f t="shared" si="2"/>
        <v>244000</v>
      </c>
      <c r="N29" s="749"/>
      <c r="Q29" s="474"/>
      <c r="S29" s="475">
        <f>$J$38</f>
        <v>2063840</v>
      </c>
      <c r="T29" s="475"/>
      <c r="U29" s="475"/>
      <c r="W29" s="474"/>
      <c r="Y29" s="473"/>
      <c r="Z29" s="473"/>
    </row>
    <row r="30" spans="1:26" ht="18.75" customHeight="1">
      <c r="B30" s="828"/>
      <c r="C30" s="814"/>
      <c r="D30" s="188"/>
      <c r="E30" s="183" t="s">
        <v>90</v>
      </c>
      <c r="F30" s="256"/>
      <c r="G30" s="206" t="s">
        <v>98</v>
      </c>
      <c r="H30" s="198">
        <f>【宿舎費_研修旅行中】</f>
        <v>14500</v>
      </c>
      <c r="I30" s="199">
        <v>2</v>
      </c>
      <c r="J30" s="200">
        <f t="shared" si="0"/>
        <v>29000</v>
      </c>
      <c r="K30" s="781">
        <f t="shared" si="1"/>
        <v>14500</v>
      </c>
      <c r="L30" s="782"/>
      <c r="M30" s="756">
        <f t="shared" si="2"/>
        <v>14500</v>
      </c>
      <c r="N30" s="757"/>
      <c r="Q30" s="476"/>
      <c r="S30" s="478" t="s">
        <v>237</v>
      </c>
      <c r="T30" s="479"/>
      <c r="U30" s="480"/>
      <c r="W30" s="481"/>
    </row>
    <row r="31" spans="1:26" ht="18.75" customHeight="1">
      <c r="B31" s="828"/>
      <c r="C31" s="814"/>
      <c r="D31" s="201"/>
      <c r="E31" s="248"/>
      <c r="F31" s="257"/>
      <c r="G31" s="209" t="s">
        <v>22</v>
      </c>
      <c r="H31" s="202">
        <f>【食費_昼食】+【食費_夕食】+【食費_朝食】</f>
        <v>3200</v>
      </c>
      <c r="I31" s="203">
        <v>2</v>
      </c>
      <c r="J31" s="204">
        <f t="shared" si="0"/>
        <v>6400</v>
      </c>
      <c r="K31" s="835">
        <f t="shared" si="1"/>
        <v>3200</v>
      </c>
      <c r="L31" s="836"/>
      <c r="M31" s="792">
        <f t="shared" si="2"/>
        <v>3200</v>
      </c>
      <c r="N31" s="793"/>
      <c r="Q31" s="482"/>
      <c r="S31" s="483" t="s">
        <v>282</v>
      </c>
      <c r="T31" s="484"/>
      <c r="U31" s="571">
        <f>$J$59-$J$57</f>
        <v>534600</v>
      </c>
      <c r="W31" s="485"/>
    </row>
    <row r="32" spans="1:26" ht="18.75" customHeight="1">
      <c r="B32" s="828"/>
      <c r="C32" s="814"/>
      <c r="D32" s="205" t="s">
        <v>115</v>
      </c>
      <c r="G32" s="206" t="s">
        <v>98</v>
      </c>
      <c r="H32" s="198">
        <f>IF(【実地研修中の宿泊】=1,【宿舎費_研修センター】+【食費_夕食】+【食費_朝食】,IF(【実地研修中の宿泊】=2,【宿舎費_会社施設】,$M$11))</f>
        <v>0</v>
      </c>
      <c r="I32" s="199">
        <f>'6W計算シート'!$C$13</f>
        <v>171</v>
      </c>
      <c r="J32" s="200">
        <f t="shared" si="0"/>
        <v>0</v>
      </c>
      <c r="K32" s="781">
        <f t="shared" si="1"/>
        <v>0</v>
      </c>
      <c r="L32" s="782"/>
      <c r="M32" s="756">
        <f t="shared" si="2"/>
        <v>0</v>
      </c>
      <c r="N32" s="757"/>
      <c r="Q32" s="487" t="s">
        <v>203</v>
      </c>
      <c r="S32" s="483" t="s">
        <v>283</v>
      </c>
      <c r="T32" s="484"/>
      <c r="U32" s="488">
        <f>$J$57</f>
        <v>36480</v>
      </c>
      <c r="W32" s="485"/>
      <c r="Y32" s="486" t="s">
        <v>202</v>
      </c>
    </row>
    <row r="33" spans="1:26" ht="18.75" customHeight="1" thickBot="1">
      <c r="B33" s="828"/>
      <c r="C33" s="814"/>
      <c r="D33" s="207"/>
      <c r="E33" s="208"/>
      <c r="F33" s="208"/>
      <c r="G33" s="209" t="str">
        <f>IF(【実地研修中の宿泊】=1,"食費(昼食費)","食費")</f>
        <v>食費</v>
      </c>
      <c r="H33" s="202">
        <f>IF(【実地研修中の宿泊】=1,【食費_昼食】,【食費_昼食】+【食費_夕食】+【食費_朝食】)</f>
        <v>3200</v>
      </c>
      <c r="I33" s="203">
        <f>'6W計算シート'!$C$13</f>
        <v>171</v>
      </c>
      <c r="J33" s="204">
        <f t="shared" si="0"/>
        <v>547200</v>
      </c>
      <c r="K33" s="835">
        <f t="shared" si="1"/>
        <v>273600</v>
      </c>
      <c r="L33" s="836"/>
      <c r="M33" s="792">
        <f t="shared" si="2"/>
        <v>273600</v>
      </c>
      <c r="N33" s="793"/>
      <c r="Q33" s="487"/>
      <c r="S33" s="572"/>
      <c r="T33" s="573"/>
      <c r="U33" s="574">
        <f>SUM($U$31:$U$32)</f>
        <v>571080</v>
      </c>
      <c r="Y33" s="489" t="s">
        <v>204</v>
      </c>
    </row>
    <row r="34" spans="1:26" ht="18.75" customHeight="1">
      <c r="B34" s="828"/>
      <c r="C34" s="815"/>
      <c r="D34" s="189" t="s">
        <v>100</v>
      </c>
      <c r="E34" s="190"/>
      <c r="F34" s="190"/>
      <c r="G34" s="170"/>
      <c r="H34" s="195">
        <f>【雑費】</f>
        <v>1000</v>
      </c>
      <c r="I34" s="196">
        <f>F12</f>
        <v>365</v>
      </c>
      <c r="J34" s="197">
        <f t="shared" si="0"/>
        <v>365000</v>
      </c>
      <c r="K34" s="787">
        <f t="shared" si="1"/>
        <v>182500</v>
      </c>
      <c r="L34" s="788"/>
      <c r="M34" s="748">
        <f t="shared" si="2"/>
        <v>182500</v>
      </c>
      <c r="N34" s="749"/>
      <c r="Q34" s="494">
        <f>$K$38</f>
        <v>1031920</v>
      </c>
      <c r="S34" s="490" t="s">
        <v>230</v>
      </c>
      <c r="T34" s="491"/>
      <c r="U34" s="497"/>
      <c r="V34" s="471"/>
      <c r="W34" s="507"/>
      <c r="X34" s="471"/>
      <c r="Y34" s="492"/>
      <c r="Z34" s="493"/>
    </row>
    <row r="35" spans="1:26" ht="18.75" customHeight="1">
      <c r="B35" s="828"/>
      <c r="C35" s="155" t="s">
        <v>254</v>
      </c>
      <c r="D35" s="256"/>
      <c r="E35" s="256"/>
      <c r="F35" s="256"/>
      <c r="G35" s="553"/>
      <c r="H35" s="562" t="s">
        <v>163</v>
      </c>
      <c r="I35" s="555">
        <f>F12</f>
        <v>365</v>
      </c>
      <c r="J35" s="501">
        <f>VLOOKUP("該当",【海外旅行保険】,3,FALSE)</f>
        <v>36480</v>
      </c>
      <c r="K35" s="787">
        <f t="shared" si="1"/>
        <v>18240</v>
      </c>
      <c r="L35" s="788"/>
      <c r="M35" s="748">
        <f t="shared" si="2"/>
        <v>18240</v>
      </c>
      <c r="N35" s="749"/>
      <c r="Q35" s="482" t="str">
        <f>"("&amp;TEXT(VLOOKUP(【研修申込区分】,【研修申込区分別費用】,3,FALSE),"# ?/?")&amp;" )"</f>
        <v>( 1/2 )</v>
      </c>
      <c r="S35" s="495" t="s">
        <v>205</v>
      </c>
      <c r="T35" s="496"/>
      <c r="U35" s="497" t="str">
        <f>$J$26</f>
        <v>補助対象外</v>
      </c>
      <c r="V35" s="471"/>
      <c r="W35" s="507"/>
      <c r="X35" s="471"/>
      <c r="Y35" s="498" t="s">
        <v>206</v>
      </c>
      <c r="Z35" s="499" t="str">
        <f>$U$35</f>
        <v>補助対象外</v>
      </c>
    </row>
    <row r="36" spans="1:26" ht="18.75" customHeight="1">
      <c r="B36" s="828"/>
      <c r="C36" s="210" t="s">
        <v>143</v>
      </c>
      <c r="D36" s="210"/>
      <c r="E36" s="210"/>
      <c r="F36" s="210"/>
      <c r="G36" s="168"/>
      <c r="H36" s="554">
        <f>VLOOKUP(【研修申込区分】,【研修申込区分別費用】,5,FALSE)</f>
        <v>3360</v>
      </c>
      <c r="I36" s="211">
        <f>'6W計算シート'!$C$13</f>
        <v>171</v>
      </c>
      <c r="J36" s="212">
        <f t="shared" si="0"/>
        <v>574560</v>
      </c>
      <c r="K36" s="845">
        <f t="shared" si="1"/>
        <v>287280</v>
      </c>
      <c r="L36" s="846"/>
      <c r="M36" s="794">
        <f t="shared" si="2"/>
        <v>287280</v>
      </c>
      <c r="N36" s="795"/>
      <c r="Q36" s="482"/>
      <c r="S36" s="495" t="s">
        <v>279</v>
      </c>
      <c r="T36" s="496"/>
      <c r="U36" s="497">
        <f>IF(【実地研修中の宿泊】=1,0,$J$32)</f>
        <v>0</v>
      </c>
      <c r="V36" s="471"/>
      <c r="W36" s="507"/>
      <c r="X36" s="471"/>
      <c r="Y36" s="500" t="s">
        <v>98</v>
      </c>
      <c r="Z36" s="501">
        <f>$U$36</f>
        <v>0</v>
      </c>
    </row>
    <row r="37" spans="1:26" ht="18.75" customHeight="1" thickBot="1">
      <c r="B37" s="831"/>
      <c r="C37" s="213" t="s">
        <v>184</v>
      </c>
      <c r="D37" s="213"/>
      <c r="E37" s="213"/>
      <c r="F37" s="213"/>
      <c r="G37" s="214"/>
      <c r="H37" s="215" t="s">
        <v>163</v>
      </c>
      <c r="I37" s="216" t="s">
        <v>163</v>
      </c>
      <c r="J37" s="217">
        <f>$M$17</f>
        <v>6000</v>
      </c>
      <c r="K37" s="833">
        <f t="shared" si="1"/>
        <v>3000</v>
      </c>
      <c r="L37" s="834"/>
      <c r="M37" s="779">
        <f t="shared" si="2"/>
        <v>3000</v>
      </c>
      <c r="N37" s="780"/>
      <c r="Q37" s="482"/>
      <c r="S37" s="495" t="s">
        <v>280</v>
      </c>
      <c r="T37" s="496"/>
      <c r="U37" s="497">
        <f>$J$33</f>
        <v>547200</v>
      </c>
      <c r="V37" s="504" t="s">
        <v>224</v>
      </c>
      <c r="W37" s="509"/>
      <c r="X37" s="588"/>
      <c r="Y37" s="498" t="s">
        <v>207</v>
      </c>
      <c r="Z37" s="502">
        <f>$U$37</f>
        <v>547200</v>
      </c>
    </row>
    <row r="38" spans="1:26" ht="18.75" customHeight="1" thickBot="1">
      <c r="B38" s="796" t="s">
        <v>164</v>
      </c>
      <c r="C38" s="797"/>
      <c r="D38" s="797"/>
      <c r="E38" s="797"/>
      <c r="F38" s="797"/>
      <c r="G38" s="797"/>
      <c r="H38" s="797"/>
      <c r="I38" s="798"/>
      <c r="J38" s="218">
        <f>SUM(J26:J37)</f>
        <v>2063840</v>
      </c>
      <c r="K38" s="821">
        <f>SUM(K26:K37)</f>
        <v>1031920</v>
      </c>
      <c r="L38" s="822"/>
      <c r="M38" s="790">
        <f>SUM(M26:M37)</f>
        <v>1031920</v>
      </c>
      <c r="N38" s="791"/>
      <c r="Q38" s="527"/>
      <c r="S38" s="495" t="s">
        <v>281</v>
      </c>
      <c r="T38" s="496"/>
      <c r="U38" s="497">
        <f>$J$34</f>
        <v>365000</v>
      </c>
      <c r="V38" s="589">
        <f>$S$29-$U$33</f>
        <v>1492760</v>
      </c>
      <c r="W38" s="471"/>
      <c r="X38" s="505"/>
      <c r="Y38" s="498" t="s">
        <v>208</v>
      </c>
      <c r="Z38" s="502">
        <f>$U$38</f>
        <v>365000</v>
      </c>
    </row>
    <row r="39" spans="1:26" ht="16.5" customHeight="1">
      <c r="A39"/>
      <c r="B39" s="219"/>
      <c r="C39" s="220"/>
      <c r="D39" s="220"/>
      <c r="E39" s="220"/>
      <c r="F39" s="220"/>
      <c r="G39" s="220"/>
      <c r="H39" s="220"/>
      <c r="I39" s="220"/>
      <c r="J39" s="221" t="s">
        <v>165</v>
      </c>
      <c r="K39" s="802" t="s">
        <v>166</v>
      </c>
      <c r="L39" s="802"/>
      <c r="M39" s="802" t="s">
        <v>245</v>
      </c>
      <c r="N39" s="802"/>
      <c r="Q39" s="503" t="s">
        <v>244</v>
      </c>
      <c r="S39" s="495" t="s">
        <v>209</v>
      </c>
      <c r="T39" s="496"/>
      <c r="U39" s="497">
        <f>$J$36</f>
        <v>574560</v>
      </c>
      <c r="V39" s="507"/>
      <c r="W39" s="471"/>
      <c r="X39" s="471"/>
      <c r="Y39" s="498" t="s">
        <v>210</v>
      </c>
      <c r="Z39" s="499">
        <f>$U$39</f>
        <v>574560</v>
      </c>
    </row>
    <row r="40" spans="1:26" ht="16.5" customHeight="1">
      <c r="C40" s="173"/>
      <c r="D40" s="173"/>
      <c r="E40" s="173"/>
      <c r="F40" s="173"/>
      <c r="G40" s="173"/>
      <c r="H40" s="173"/>
      <c r="I40" s="173"/>
      <c r="J40" s="173"/>
      <c r="K40" s="604"/>
      <c r="Q40" s="506">
        <f>$M$38</f>
        <v>1031920</v>
      </c>
      <c r="R40" s="477"/>
      <c r="S40" s="495" t="s">
        <v>211</v>
      </c>
      <c r="T40" s="496"/>
      <c r="U40" s="530">
        <f>$M$17</f>
        <v>6000</v>
      </c>
      <c r="V40" s="507"/>
      <c r="W40" s="471"/>
      <c r="X40" s="509"/>
      <c r="Y40" s="500" t="s">
        <v>212</v>
      </c>
      <c r="Z40" s="531">
        <f>$M$17</f>
        <v>6000</v>
      </c>
    </row>
    <row r="41" spans="1:26" ht="18.75" customHeight="1" thickBot="1">
      <c r="B41" s="819" t="s">
        <v>286</v>
      </c>
      <c r="C41" s="819"/>
      <c r="D41" s="819"/>
      <c r="E41" s="819"/>
      <c r="F41" s="819"/>
      <c r="G41" s="819"/>
      <c r="H41" s="819"/>
      <c r="I41" s="819"/>
      <c r="J41" s="819"/>
      <c r="K41" s="604"/>
      <c r="Q41" s="508" t="str">
        <f>"("&amp;TEXT(VLOOKUP(【研修申込区分】,【研修申込区分別費用】,4,FALSE),"# ?/?")&amp;" )"</f>
        <v>( 1/2 )</v>
      </c>
      <c r="S41" s="528"/>
      <c r="T41" s="529"/>
      <c r="U41" s="575">
        <f>SUM(U35:U40)</f>
        <v>1492760</v>
      </c>
      <c r="V41" s="509"/>
      <c r="W41" s="471"/>
      <c r="X41" s="509"/>
      <c r="Y41" s="532"/>
      <c r="Z41" s="576">
        <f>SUM(Z35:Z40)</f>
        <v>1492760</v>
      </c>
    </row>
    <row r="42" spans="1:26" ht="18.75" customHeight="1" thickBot="1">
      <c r="B42" s="819"/>
      <c r="C42" s="819"/>
      <c r="D42" s="819"/>
      <c r="E42" s="819"/>
      <c r="F42" s="819"/>
      <c r="G42" s="819"/>
      <c r="H42" s="819"/>
      <c r="I42" s="819"/>
      <c r="J42" s="819"/>
      <c r="N42" s="222"/>
      <c r="Q42" s="526" t="s">
        <v>243</v>
      </c>
      <c r="V42" s="511"/>
      <c r="W42" s="471"/>
      <c r="X42" s="509"/>
    </row>
    <row r="43" spans="1:26" ht="18.75" customHeight="1" thickBot="1">
      <c r="C43" s="825" t="s">
        <v>106</v>
      </c>
      <c r="D43" s="826"/>
      <c r="E43" s="826"/>
      <c r="F43" s="826"/>
      <c r="G43" s="827"/>
      <c r="H43" s="223" t="s">
        <v>147</v>
      </c>
      <c r="I43" s="223" t="s">
        <v>96</v>
      </c>
      <c r="J43" s="224" t="s">
        <v>168</v>
      </c>
      <c r="Q43" s="510" t="str">
        <f>G3</f>
        <v>(6W)</v>
      </c>
      <c r="S43" s="155"/>
      <c r="T43" s="155"/>
      <c r="U43" s="155"/>
      <c r="V43" s="509"/>
      <c r="W43" s="471"/>
      <c r="X43" s="505"/>
      <c r="Y43" s="155"/>
      <c r="Z43" s="155"/>
    </row>
    <row r="44" spans="1:26" ht="18.75" customHeight="1">
      <c r="C44" s="828" t="s">
        <v>287</v>
      </c>
      <c r="D44" s="169" t="s">
        <v>246</v>
      </c>
      <c r="E44" s="225"/>
      <c r="F44" s="225"/>
      <c r="G44" s="225"/>
      <c r="H44" s="225"/>
      <c r="I44" s="225"/>
      <c r="J44" s="226">
        <f>M38</f>
        <v>1031920</v>
      </c>
      <c r="Q44" s="512">
        <f>$J$45</f>
        <v>420000</v>
      </c>
      <c r="S44" s="155"/>
      <c r="T44" s="155"/>
      <c r="U44" s="155"/>
      <c r="V44" s="509"/>
      <c r="W44" s="471"/>
      <c r="X44" s="505"/>
      <c r="Y44" s="155"/>
      <c r="Z44" s="155"/>
    </row>
    <row r="45" spans="1:26" ht="18.75" customHeight="1">
      <c r="C45" s="828"/>
      <c r="D45" s="169" t="s">
        <v>242</v>
      </c>
      <c r="E45" s="225"/>
      <c r="F45" s="225"/>
      <c r="G45" s="225"/>
      <c r="H45" s="227">
        <f>VLOOKUP(【研修申込区分】,【研修申込区分別費用】,6,FALSE)</f>
        <v>420000</v>
      </c>
      <c r="I45" s="228">
        <v>1</v>
      </c>
      <c r="J45" s="229">
        <f>H45</f>
        <v>420000</v>
      </c>
      <c r="Q45" s="513"/>
      <c r="S45" s="155"/>
      <c r="T45" s="155"/>
      <c r="U45" s="155"/>
      <c r="V45" s="509"/>
      <c r="W45" s="471"/>
      <c r="X45" s="471"/>
    </row>
    <row r="46" spans="1:26" ht="18.75" customHeight="1" thickBot="1">
      <c r="C46" s="829"/>
      <c r="D46" s="230"/>
      <c r="E46" s="260"/>
      <c r="F46" s="260"/>
      <c r="G46" s="261"/>
      <c r="H46" s="231"/>
      <c r="I46" s="232"/>
      <c r="J46" s="233"/>
      <c r="Q46" s="482"/>
      <c r="S46" s="155"/>
      <c r="T46" s="155"/>
      <c r="U46" s="155"/>
      <c r="V46" s="509"/>
      <c r="W46" s="471"/>
      <c r="X46" s="514"/>
      <c r="Y46" s="515">
        <f>Y48+Y52</f>
        <v>1451920</v>
      </c>
      <c r="Z46" s="155"/>
    </row>
    <row r="47" spans="1:26" ht="18.75" customHeight="1" thickBot="1">
      <c r="C47" s="796" t="s">
        <v>164</v>
      </c>
      <c r="D47" s="797"/>
      <c r="E47" s="797"/>
      <c r="F47" s="797"/>
      <c r="G47" s="797"/>
      <c r="H47" s="797"/>
      <c r="I47" s="798"/>
      <c r="J47" s="234">
        <f>SUM(J44:J46)</f>
        <v>1451920</v>
      </c>
      <c r="K47" s="235" t="s">
        <v>214</v>
      </c>
      <c r="Q47" s="487"/>
      <c r="S47" s="155"/>
      <c r="T47" s="155"/>
      <c r="U47" s="155"/>
      <c r="V47" s="509"/>
      <c r="W47" s="471"/>
      <c r="X47" s="509"/>
      <c r="Y47" s="516" t="s">
        <v>244</v>
      </c>
    </row>
    <row r="48" spans="1:26" ht="18.75" customHeight="1">
      <c r="Q48" s="487" t="s">
        <v>203</v>
      </c>
      <c r="S48" s="155"/>
      <c r="T48" s="155"/>
      <c r="U48" s="155"/>
      <c r="V48" s="509" t="s">
        <v>238</v>
      </c>
      <c r="W48" s="471"/>
      <c r="X48" s="509"/>
      <c r="Y48" s="506">
        <f>$Q$40</f>
        <v>1031920</v>
      </c>
    </row>
    <row r="49" spans="2:26" ht="18.75" customHeight="1" thickBot="1">
      <c r="B49" s="819" t="s">
        <v>275</v>
      </c>
      <c r="C49" s="819"/>
      <c r="D49" s="819"/>
      <c r="E49" s="819"/>
      <c r="F49" s="819"/>
      <c r="G49" s="819"/>
      <c r="H49" s="819"/>
      <c r="I49" s="819"/>
      <c r="J49" s="819"/>
      <c r="L49" s="605" t="s">
        <v>293</v>
      </c>
      <c r="M49" s="605"/>
      <c r="N49" s="605"/>
      <c r="Q49" s="494"/>
      <c r="S49" s="155"/>
      <c r="T49" s="155"/>
      <c r="U49" s="155"/>
      <c r="V49" s="504">
        <f>$Y$48+$Y$52</f>
        <v>1451920</v>
      </c>
      <c r="W49" s="471"/>
      <c r="X49" s="514"/>
      <c r="Y49" s="508" t="str">
        <f>$Q$41</f>
        <v>( 1/2 )</v>
      </c>
    </row>
    <row r="50" spans="2:26" ht="18.75" customHeight="1" thickBot="1">
      <c r="B50" s="819"/>
      <c r="C50" s="819"/>
      <c r="D50" s="819"/>
      <c r="E50" s="819"/>
      <c r="F50" s="819"/>
      <c r="G50" s="819"/>
      <c r="H50" s="819"/>
      <c r="I50" s="819"/>
      <c r="J50" s="819"/>
      <c r="L50" s="605"/>
      <c r="M50" s="605"/>
      <c r="N50" s="605"/>
      <c r="Q50" s="482"/>
      <c r="S50" s="155"/>
      <c r="T50" s="155"/>
      <c r="U50" s="155"/>
      <c r="W50" s="155"/>
      <c r="X50" s="155"/>
      <c r="Y50" s="533" t="s">
        <v>243</v>
      </c>
    </row>
    <row r="51" spans="2:26" ht="18.75" customHeight="1" thickBot="1">
      <c r="C51" s="825" t="s">
        <v>106</v>
      </c>
      <c r="D51" s="826"/>
      <c r="E51" s="826"/>
      <c r="F51" s="826"/>
      <c r="G51" s="827"/>
      <c r="H51" s="223" t="s">
        <v>147</v>
      </c>
      <c r="I51" s="223" t="s">
        <v>96</v>
      </c>
      <c r="J51" s="224" t="s">
        <v>0</v>
      </c>
      <c r="N51" s="173"/>
      <c r="Q51" s="603"/>
      <c r="S51" s="155"/>
      <c r="T51" s="155"/>
      <c r="U51" s="155"/>
      <c r="W51" s="155"/>
      <c r="X51" s="155"/>
      <c r="Y51" s="510" t="str">
        <f>$Q$43</f>
        <v>(6W)</v>
      </c>
    </row>
    <row r="52" spans="2:26" ht="18.75" customHeight="1" thickBot="1">
      <c r="C52" s="823" t="s">
        <v>169</v>
      </c>
      <c r="D52" s="155" t="s">
        <v>109</v>
      </c>
      <c r="G52" s="237"/>
      <c r="H52" s="238"/>
      <c r="J52" s="239"/>
      <c r="N52" s="173"/>
      <c r="Q52" s="155"/>
      <c r="S52" s="155"/>
      <c r="T52" s="155"/>
      <c r="U52" s="155"/>
      <c r="W52" s="155"/>
      <c r="Y52" s="517">
        <f>$Q$44</f>
        <v>420000</v>
      </c>
    </row>
    <row r="53" spans="2:26" ht="18.75" customHeight="1" thickBot="1">
      <c r="C53" s="823"/>
      <c r="E53" s="189" t="s">
        <v>157</v>
      </c>
      <c r="F53" s="190"/>
      <c r="G53" s="240" t="s">
        <v>158</v>
      </c>
      <c r="H53" s="192">
        <f t="shared" ref="H53:I56" si="3">H28</f>
        <v>11200</v>
      </c>
      <c r="I53" s="241">
        <f t="shared" si="3"/>
        <v>1</v>
      </c>
      <c r="J53" s="242">
        <f>H53*I53</f>
        <v>11200</v>
      </c>
      <c r="N53" s="173"/>
      <c r="Q53" s="155"/>
      <c r="S53" s="155"/>
      <c r="T53" s="155"/>
      <c r="U53" s="155"/>
      <c r="W53" s="518" t="s">
        <v>239</v>
      </c>
    </row>
    <row r="54" spans="2:26" ht="18.75" customHeight="1">
      <c r="C54" s="823"/>
      <c r="D54" s="188"/>
      <c r="E54" s="189" t="s">
        <v>159</v>
      </c>
      <c r="F54" s="190"/>
      <c r="G54" s="240" t="s">
        <v>158</v>
      </c>
      <c r="H54" s="192">
        <f t="shared" si="3"/>
        <v>12200</v>
      </c>
      <c r="I54" s="243">
        <f t="shared" si="3"/>
        <v>40</v>
      </c>
      <c r="J54" s="242">
        <f>H54*I54</f>
        <v>488000</v>
      </c>
      <c r="N54" s="173"/>
      <c r="R54" s="592"/>
      <c r="S54" s="598"/>
      <c r="U54" s="600"/>
      <c r="W54" s="476" t="s">
        <v>213</v>
      </c>
    </row>
    <row r="55" spans="2:26" ht="18.75" customHeight="1" thickBot="1">
      <c r="C55" s="823"/>
      <c r="E55" s="183" t="s">
        <v>90</v>
      </c>
      <c r="F55" s="244"/>
      <c r="G55" s="245" t="s">
        <v>98</v>
      </c>
      <c r="H55" s="198">
        <f t="shared" si="3"/>
        <v>14500</v>
      </c>
      <c r="I55" s="246">
        <f t="shared" si="3"/>
        <v>2</v>
      </c>
      <c r="J55" s="247">
        <f>H55*I55</f>
        <v>29000</v>
      </c>
      <c r="N55" s="173"/>
      <c r="R55" s="592"/>
      <c r="S55" s="598"/>
      <c r="U55" s="601"/>
      <c r="W55" s="519">
        <f>$V$38-$V$49</f>
        <v>40840</v>
      </c>
    </row>
    <row r="56" spans="2:26" ht="18.75" customHeight="1">
      <c r="C56" s="823"/>
      <c r="D56" s="170"/>
      <c r="E56" s="248"/>
      <c r="F56" s="249"/>
      <c r="G56" s="250" t="s">
        <v>22</v>
      </c>
      <c r="H56" s="202">
        <f t="shared" si="3"/>
        <v>3200</v>
      </c>
      <c r="I56" s="251">
        <f t="shared" si="3"/>
        <v>2</v>
      </c>
      <c r="J56" s="252">
        <f>H56*I56</f>
        <v>6400</v>
      </c>
      <c r="N56" s="173"/>
      <c r="R56" s="592"/>
      <c r="S56" s="598"/>
      <c r="U56" s="600"/>
      <c r="W56" s="470" t="str">
        <f>IF(W55&lt;0,Y56,Y58)</f>
        <v>AOTSから企業へお支払いいたします</v>
      </c>
      <c r="Y56" s="520" t="s">
        <v>241</v>
      </c>
    </row>
    <row r="57" spans="2:26" ht="18.75" customHeight="1">
      <c r="C57" s="823"/>
      <c r="D57" s="463" t="s">
        <v>273</v>
      </c>
      <c r="E57" s="190"/>
      <c r="F57" s="190"/>
      <c r="G57" s="240"/>
      <c r="H57" s="570" t="s">
        <v>163</v>
      </c>
      <c r="I57" s="243">
        <f>I35</f>
        <v>365</v>
      </c>
      <c r="J57" s="242">
        <f>J35</f>
        <v>36480</v>
      </c>
      <c r="N57" s="173"/>
      <c r="S57" s="602"/>
      <c r="W57" s="470"/>
      <c r="Y57" s="520"/>
    </row>
    <row r="58" spans="2:26" ht="18.75" customHeight="1" thickBot="1">
      <c r="C58" s="824"/>
      <c r="D58" s="565" t="s">
        <v>115</v>
      </c>
      <c r="E58" s="213"/>
      <c r="F58" s="213"/>
      <c r="G58" s="566" t="s">
        <v>98</v>
      </c>
      <c r="H58" s="567">
        <f>IF(【実地研修中の宿泊】=1,$H$32,0)</f>
        <v>0</v>
      </c>
      <c r="I58" s="568">
        <f>IF(H58=0,0,$I$32)</f>
        <v>0</v>
      </c>
      <c r="J58" s="569">
        <f>H58*I58</f>
        <v>0</v>
      </c>
      <c r="N58" s="173"/>
      <c r="Q58" s="155"/>
      <c r="R58" s="155"/>
      <c r="S58" s="155"/>
      <c r="T58" s="155"/>
      <c r="U58" s="155"/>
      <c r="V58" s="155"/>
      <c r="W58" s="155"/>
      <c r="X58" s="155"/>
      <c r="Y58" s="520" t="s">
        <v>240</v>
      </c>
      <c r="Z58" s="155"/>
    </row>
    <row r="59" spans="2:26" ht="18.75" customHeight="1" thickBot="1">
      <c r="C59" s="796" t="s">
        <v>164</v>
      </c>
      <c r="D59" s="797"/>
      <c r="E59" s="797"/>
      <c r="F59" s="797"/>
      <c r="G59" s="797"/>
      <c r="H59" s="797"/>
      <c r="I59" s="798"/>
      <c r="J59" s="253">
        <f>SUM(J53:J58)</f>
        <v>571080</v>
      </c>
      <c r="K59" s="235" t="s">
        <v>215</v>
      </c>
      <c r="N59" s="236"/>
    </row>
    <row r="60" spans="2:26" ht="16.5" customHeight="1">
      <c r="C60" s="254"/>
      <c r="D60" s="254"/>
      <c r="E60" s="254"/>
      <c r="F60" s="254"/>
      <c r="G60" s="254"/>
      <c r="H60" s="254"/>
      <c r="I60" s="254"/>
      <c r="J60" s="255"/>
      <c r="L60" s="235"/>
      <c r="N60" s="236"/>
      <c r="Q60" s="155"/>
      <c r="R60" s="155"/>
      <c r="S60" s="155"/>
      <c r="T60" s="155"/>
      <c r="U60" s="155"/>
      <c r="V60" s="155"/>
      <c r="W60" s="155"/>
      <c r="X60" s="155"/>
      <c r="Y60" s="155"/>
      <c r="Z60" s="155"/>
    </row>
    <row r="61" spans="2:26" ht="16.5" customHeight="1">
      <c r="B61" s="155" t="s">
        <v>284</v>
      </c>
      <c r="Q61" s="155"/>
      <c r="R61" s="155"/>
      <c r="S61" s="155"/>
      <c r="T61" s="155"/>
      <c r="U61" s="155"/>
      <c r="V61" s="155"/>
      <c r="W61" s="155"/>
      <c r="X61" s="155"/>
      <c r="Y61" s="155"/>
      <c r="Z61" s="155"/>
    </row>
    <row r="62" spans="2:26" ht="16.5" customHeight="1">
      <c r="Q62" s="155"/>
      <c r="R62" s="155"/>
      <c r="S62" s="155"/>
      <c r="T62" s="155"/>
      <c r="U62" s="155"/>
      <c r="V62" s="155"/>
      <c r="W62" s="155"/>
      <c r="X62" s="155"/>
      <c r="Y62" s="155"/>
      <c r="Z62" s="155"/>
    </row>
    <row r="63" spans="2:26" ht="17.100000000000001" customHeight="1">
      <c r="X63" s="155"/>
      <c r="Y63" s="155"/>
      <c r="Z63" s="155"/>
    </row>
    <row r="64" spans="2:26" ht="17.100000000000001" customHeight="1">
      <c r="Q64" s="155"/>
      <c r="R64" s="155"/>
      <c r="S64" s="155"/>
      <c r="T64" s="155"/>
      <c r="U64" s="155"/>
      <c r="V64" s="155"/>
      <c r="W64" s="155"/>
      <c r="Z64" s="155"/>
    </row>
    <row r="65" spans="17:26" ht="15" customHeight="1">
      <c r="Q65" s="155"/>
      <c r="R65" s="155"/>
      <c r="S65" s="155"/>
      <c r="T65" s="155"/>
      <c r="U65" s="155"/>
      <c r="V65" s="155"/>
      <c r="W65" s="155"/>
      <c r="X65" s="155"/>
      <c r="Y65" s="155"/>
    </row>
    <row r="66" spans="17:26" ht="13.5" customHeight="1">
      <c r="X66" s="155"/>
      <c r="Y66" s="155"/>
      <c r="Z66" s="155"/>
    </row>
    <row r="67" spans="17:26" ht="13.5" customHeight="1">
      <c r="Z67" s="155"/>
    </row>
  </sheetData>
  <sheetProtection formatCells="0"/>
  <mergeCells count="59">
    <mergeCell ref="M3:N3"/>
    <mergeCell ref="F5:I5"/>
    <mergeCell ref="I8:I9"/>
    <mergeCell ref="J8:L9"/>
    <mergeCell ref="U8:V8"/>
    <mergeCell ref="F9:G9"/>
    <mergeCell ref="U11:V11"/>
    <mergeCell ref="U15:V15"/>
    <mergeCell ref="F16:G16"/>
    <mergeCell ref="L17:L18"/>
    <mergeCell ref="M17:M18"/>
    <mergeCell ref="N17:N18"/>
    <mergeCell ref="M29:N29"/>
    <mergeCell ref="U19:V19"/>
    <mergeCell ref="B22:N23"/>
    <mergeCell ref="B24:G25"/>
    <mergeCell ref="H24:H25"/>
    <mergeCell ref="I24:I25"/>
    <mergeCell ref="J24:J25"/>
    <mergeCell ref="K24:L24"/>
    <mergeCell ref="M24:N24"/>
    <mergeCell ref="K30:L30"/>
    <mergeCell ref="M30:N30"/>
    <mergeCell ref="K31:L31"/>
    <mergeCell ref="M31:N31"/>
    <mergeCell ref="K32:L32"/>
    <mergeCell ref="M32:N32"/>
    <mergeCell ref="K33:L33"/>
    <mergeCell ref="M33:N33"/>
    <mergeCell ref="K34:L34"/>
    <mergeCell ref="M34:N34"/>
    <mergeCell ref="K35:L35"/>
    <mergeCell ref="M35:N35"/>
    <mergeCell ref="K36:L36"/>
    <mergeCell ref="M36:N36"/>
    <mergeCell ref="K37:L37"/>
    <mergeCell ref="M37:N37"/>
    <mergeCell ref="B38:I38"/>
    <mergeCell ref="K38:L38"/>
    <mergeCell ref="M38:N38"/>
    <mergeCell ref="B26:B37"/>
    <mergeCell ref="K26:L26"/>
    <mergeCell ref="M26:N26"/>
    <mergeCell ref="C27:C34"/>
    <mergeCell ref="K27:L27"/>
    <mergeCell ref="M27:N27"/>
    <mergeCell ref="K28:L28"/>
    <mergeCell ref="M28:N28"/>
    <mergeCell ref="K29:L29"/>
    <mergeCell ref="M39:N39"/>
    <mergeCell ref="B41:J42"/>
    <mergeCell ref="C43:G43"/>
    <mergeCell ref="C44:C46"/>
    <mergeCell ref="C47:I47"/>
    <mergeCell ref="B49:J50"/>
    <mergeCell ref="C51:G51"/>
    <mergeCell ref="C52:C58"/>
    <mergeCell ref="C59:I59"/>
    <mergeCell ref="K39:L39"/>
  </mergeCells>
  <phoneticPr fontId="2"/>
  <conditionalFormatting sqref="M11 M17">
    <cfRule type="cellIs" dxfId="29" priority="2" stopIfTrue="1" operator="equal">
      <formula>0</formula>
    </cfRule>
  </conditionalFormatting>
  <conditionalFormatting sqref="M26:N26">
    <cfRule type="cellIs" dxfId="28" priority="1" operator="greaterThan">
      <formula>0</formula>
    </cfRule>
  </conditionalFormatting>
  <dataValidations count="2">
    <dataValidation type="date" imeMode="off" operator="greaterThanOrEqual" allowBlank="1" showErrorMessage="1" sqref="M3" xr:uid="{C3DF00B5-906C-421A-B4AF-E6C13E093265}">
      <formula1>1</formula1>
    </dataValidation>
    <dataValidation imeMode="off" allowBlank="1" showInputMessage="1" showErrorMessage="1" sqref="M9:M10 M14:M16 H16 G15 F12" xr:uid="{29DC5A80-7C9B-4E2D-B27B-90DC0BDF0C19}"/>
  </dataValidations>
  <printOptions horizontalCentered="1"/>
  <pageMargins left="0.39370078740157483" right="0.35433070866141736" top="0.47244094488188981" bottom="0.27559055118110237" header="0.27559055118110237" footer="0"/>
  <pageSetup paperSize="8" scale="74" orientation="landscape" r:id="rId1"/>
  <headerFooter alignWithMargins="0">
    <oddHeader>&amp;R費用試算（J6W）：2022年度版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Drop Down 1">
              <controlPr defaultSize="0" autoLine="0" autoPict="0">
                <anchor moveWithCells="1">
                  <from>
                    <xdr:col>10</xdr:col>
                    <xdr:colOff>480060</xdr:colOff>
                    <xdr:row>7</xdr:row>
                    <xdr:rowOff>129540</xdr:rowOff>
                  </from>
                  <to>
                    <xdr:col>12</xdr:col>
                    <xdr:colOff>251460</xdr:colOff>
                    <xdr:row>8</xdr:row>
                    <xdr:rowOff>129540</xdr:rowOff>
                  </to>
                </anchor>
              </controlPr>
            </control>
          </mc:Choice>
        </mc:AlternateContent>
        <mc:AlternateContent xmlns:mc="http://schemas.openxmlformats.org/markup-compatibility/2006">
          <mc:Choice Requires="x14">
            <control shapeId="5122" r:id="rId5" name="Drop Down 2">
              <controlPr defaultSize="0" autoLine="0" autoPict="0">
                <anchor moveWithCells="1">
                  <from>
                    <xdr:col>4</xdr:col>
                    <xdr:colOff>480060</xdr:colOff>
                    <xdr:row>12</xdr:row>
                    <xdr:rowOff>76200</xdr:rowOff>
                  </from>
                  <to>
                    <xdr:col>8</xdr:col>
                    <xdr:colOff>259080</xdr:colOff>
                    <xdr:row>13</xdr:row>
                    <xdr:rowOff>91440</xdr:rowOff>
                  </to>
                </anchor>
              </controlPr>
            </control>
          </mc:Choice>
        </mc:AlternateContent>
        <mc:AlternateContent xmlns:mc="http://schemas.openxmlformats.org/markup-compatibility/2006">
          <mc:Choice Requires="x14">
            <control shapeId="5123" r:id="rId6" name="Drop Down 3">
              <controlPr defaultSize="0" autoLine="0" autoPict="0">
                <anchor moveWithCells="1">
                  <from>
                    <xdr:col>4</xdr:col>
                    <xdr:colOff>510540</xdr:colOff>
                    <xdr:row>6</xdr:row>
                    <xdr:rowOff>0</xdr:rowOff>
                  </from>
                  <to>
                    <xdr:col>12</xdr:col>
                    <xdr:colOff>251460</xdr:colOff>
                    <xdr:row>7</xdr:row>
                    <xdr:rowOff>15240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G51"/>
  <sheetViews>
    <sheetView showGridLines="0" topLeftCell="A2" zoomScale="70" zoomScaleNormal="70" workbookViewId="0">
      <selection activeCell="K13" sqref="K13"/>
    </sheetView>
  </sheetViews>
  <sheetFormatPr defaultColWidth="9" defaultRowHeight="13.5" customHeight="1"/>
  <cols>
    <col min="1" max="1" width="5.109375" style="155" customWidth="1"/>
    <col min="2" max="2" width="3.44140625" style="155" customWidth="1"/>
    <col min="3" max="3" width="9.6640625" style="155" customWidth="1"/>
    <col min="4" max="4" width="13.6640625" style="155" customWidth="1"/>
    <col min="5" max="5" width="13.6640625" style="155" bestFit="1" customWidth="1"/>
    <col min="6" max="6" width="7.6640625" style="155" customWidth="1"/>
    <col min="7" max="7" width="8.88671875" style="155" customWidth="1"/>
    <col min="8" max="8" width="7.6640625" style="155" customWidth="1"/>
    <col min="9" max="9" width="8.21875" style="155" customWidth="1"/>
    <col min="10" max="10" width="7.6640625" style="155" customWidth="1"/>
    <col min="11" max="11" width="8.33203125" style="155" customWidth="1"/>
    <col min="12" max="12" width="7.6640625" style="155" customWidth="1"/>
    <col min="13" max="13" width="8.33203125" style="155" customWidth="1"/>
    <col min="14" max="14" width="7.6640625" style="155" customWidth="1"/>
    <col min="15" max="15" width="8.33203125" style="155" customWidth="1"/>
    <col min="16" max="16" width="7.6640625" style="155" customWidth="1"/>
    <col min="17" max="17" width="8.21875" style="155" customWidth="1"/>
    <col min="18" max="18" width="7.6640625" style="155" customWidth="1"/>
    <col min="19" max="19" width="8.21875" style="155" customWidth="1"/>
    <col min="20" max="20" width="7.6640625" style="155" customWidth="1"/>
    <col min="21" max="21" width="8.21875" style="155" customWidth="1"/>
    <col min="22" max="22" width="7.6640625" style="155" customWidth="1"/>
    <col min="23" max="23" width="8.21875" style="155" customWidth="1"/>
    <col min="24" max="24" width="7.6640625" style="155" customWidth="1"/>
    <col min="25" max="25" width="8.21875" style="155" customWidth="1"/>
    <col min="26" max="26" width="7.6640625" style="155" customWidth="1"/>
    <col min="27" max="27" width="8.21875" style="155" customWidth="1"/>
    <col min="28" max="28" width="7.6640625" style="155" customWidth="1"/>
    <col min="29" max="29" width="8.21875" style="155" customWidth="1"/>
    <col min="30" max="30" width="7.6640625" style="155" customWidth="1"/>
    <col min="31" max="31" width="8.109375" style="155" customWidth="1"/>
    <col min="32" max="32" width="9.33203125" style="155" bestFit="1" customWidth="1"/>
    <col min="33" max="16384" width="9" style="155"/>
  </cols>
  <sheetData>
    <row r="1" spans="1:33" ht="21" customHeight="1">
      <c r="A1" s="154" t="s">
        <v>219</v>
      </c>
      <c r="E1" s="264" t="s">
        <v>220</v>
      </c>
      <c r="F1" s="849">
        <f>'6W費用試算'!M3</f>
        <v>0</v>
      </c>
      <c r="G1" s="849"/>
    </row>
    <row r="2" spans="1:33" ht="21" customHeight="1"/>
    <row r="3" spans="1:33" ht="21" customHeight="1">
      <c r="A3" s="3"/>
      <c r="C3" s="874"/>
      <c r="D3" s="874"/>
      <c r="E3" s="265" t="s">
        <v>221</v>
      </c>
      <c r="F3" s="1" t="str">
        <f>"一般研修"&amp;'6W費用試算'!G3</f>
        <v>一般研修(6W)</v>
      </c>
      <c r="G3" s="1"/>
      <c r="H3" s="1" t="str">
        <f>'6W計算シート'!$C$7</f>
        <v>2027/01/14～2027/02/24(42日・TKC)</v>
      </c>
    </row>
    <row r="4" spans="1:33" ht="21" customHeight="1">
      <c r="B4" s="875"/>
      <c r="C4" s="875"/>
      <c r="E4" s="1"/>
      <c r="F4" s="1" t="s">
        <v>222</v>
      </c>
      <c r="G4" s="1"/>
      <c r="H4" s="266" t="str">
        <f>IF('6W計算シート'!$C$13=0,"(0日)",'6W費用試算'!$F$14)</f>
        <v>2027/2/25～2027/8/14(171日)</v>
      </c>
    </row>
    <row r="5" spans="1:33" ht="13.5" customHeight="1" thickBot="1"/>
    <row r="6" spans="1:33" ht="21" customHeight="1">
      <c r="E6" s="267"/>
      <c r="F6" s="867" t="str">
        <f>IF(F7="","","1ヶ月目")</f>
        <v>1ヶ月目</v>
      </c>
      <c r="G6" s="866"/>
      <c r="H6" s="860" t="str">
        <f>IF(H7="","","2ヶ月目")</f>
        <v>2ヶ月目</v>
      </c>
      <c r="I6" s="866"/>
      <c r="J6" s="860" t="str">
        <f>IF(J7="","","3ヶ月目")</f>
        <v>3ヶ月目</v>
      </c>
      <c r="K6" s="866"/>
      <c r="L6" s="860" t="str">
        <f>IF(L7="","","4ヶ月目")</f>
        <v>4ヶ月目</v>
      </c>
      <c r="M6" s="866"/>
      <c r="N6" s="860" t="str">
        <f>IF(N7="","","5ヶ月目")</f>
        <v>5ヶ月目</v>
      </c>
      <c r="O6" s="866"/>
      <c r="P6" s="860" t="str">
        <f>IF(P7="","","6ヶ月目")</f>
        <v>6ヶ月目</v>
      </c>
      <c r="Q6" s="866"/>
      <c r="R6" s="860" t="str">
        <f>IF(R7="","","7ヶ月目")</f>
        <v>7ヶ月目</v>
      </c>
      <c r="S6" s="866"/>
      <c r="T6" s="860" t="str">
        <f>IF(T7="","","8ヶ月目")</f>
        <v>8ヶ月目</v>
      </c>
      <c r="U6" s="866"/>
      <c r="V6" s="860" t="str">
        <f>IF(V7="","","9ヶ月目")</f>
        <v/>
      </c>
      <c r="W6" s="866"/>
      <c r="X6" s="860" t="str">
        <f>IF(X7="","","10ヶ月目")</f>
        <v/>
      </c>
      <c r="Y6" s="866"/>
      <c r="Z6" s="860" t="str">
        <f>IF(Z7="","","11ヶ月目")</f>
        <v/>
      </c>
      <c r="AA6" s="866"/>
      <c r="AB6" s="860" t="str">
        <f>IF(AB7="","","12ヶ月目")</f>
        <v/>
      </c>
      <c r="AC6" s="866"/>
      <c r="AD6" s="860" t="str">
        <f>IF(AD7="","","13ヶ月目")</f>
        <v/>
      </c>
      <c r="AE6" s="861"/>
      <c r="AF6" s="856" t="s">
        <v>101</v>
      </c>
    </row>
    <row r="7" spans="1:33" ht="21" customHeight="1">
      <c r="E7" s="268" t="s">
        <v>102</v>
      </c>
      <c r="F7" s="862" t="str">
        <f>IF(F10=0,"",YEAR('6W計算シート'!$Q15)&amp;"年"&amp;MONTH('6W計算シート'!$Q15)&amp;"月")</f>
        <v>2027年1月</v>
      </c>
      <c r="G7" s="859"/>
      <c r="H7" s="858" t="str">
        <f>IF(H10=0,"",IF(MONTH('6W計算シート'!$Q15)=12,YEAR('6W計算シート'!$Q16)&amp;"年"&amp;MONTH('6W計算シート'!$Q16)&amp;"月",MONTH('6W計算シート'!$Q16)&amp;"月"))</f>
        <v>2月</v>
      </c>
      <c r="I7" s="859"/>
      <c r="J7" s="858" t="str">
        <f>IF(J10=0,"",IF(MONTH('6W計算シート'!$Q16)=12,YEAR('6W計算シート'!$Q17)&amp;"年"&amp;MONTH('6W計算シート'!$Q17)&amp;"月",MONTH('6W計算シート'!$Q17)&amp;"月"))</f>
        <v>3月</v>
      </c>
      <c r="K7" s="859"/>
      <c r="L7" s="858" t="str">
        <f>IF(L10=0,"",IF(MONTH('6W計算シート'!$Q17)=12,YEAR('6W計算シート'!$Q18)&amp;"年"&amp;MONTH('6W計算シート'!$Q18)&amp;"月",MONTH('6W計算シート'!$Q18)&amp;"月"))</f>
        <v>4月</v>
      </c>
      <c r="M7" s="859"/>
      <c r="N7" s="858" t="str">
        <f>IF(N10=0,"",IF(MONTH('6W計算シート'!$Q18)=12,YEAR('6W計算シート'!$Q19)&amp;"年"&amp;MONTH('6W計算シート'!$Q19)&amp;"月",MONTH('6W計算シート'!$Q19)&amp;"月"))</f>
        <v>5月</v>
      </c>
      <c r="O7" s="859"/>
      <c r="P7" s="858" t="str">
        <f>IF(P10=0,"",IF(MONTH('6W計算シート'!$Q19)=12,YEAR('6W計算シート'!$Q20)&amp;"年"&amp;MONTH('6W計算シート'!$Q20)&amp;"月",MONTH('6W計算シート'!$Q20)&amp;"月"))</f>
        <v>6月</v>
      </c>
      <c r="Q7" s="859"/>
      <c r="R7" s="858" t="str">
        <f>IF(R10=0,"",IF(MONTH('6W計算シート'!$Q20)=12,YEAR('6W計算シート'!$Q21)&amp;"年"&amp;MONTH('6W計算シート'!$Q21)&amp;"月",MONTH('6W計算シート'!$Q21)&amp;"月"))</f>
        <v>7月</v>
      </c>
      <c r="S7" s="859"/>
      <c r="T7" s="858" t="str">
        <f>IF(T10=0,"",IF(MONTH('6W計算シート'!$Q21)=12,YEAR('6W計算シート'!$Q22)&amp;"年"&amp;MONTH('6W計算シート'!$Q22)&amp;"月",MONTH('6W計算シート'!$Q22)&amp;"月"))</f>
        <v>8月</v>
      </c>
      <c r="U7" s="859"/>
      <c r="V7" s="858" t="str">
        <f>IF(V10=0,"",IF(MONTH('6W計算シート'!$Q22)=12,YEAR('6W計算シート'!$Q23)&amp;"年"&amp;MONTH('6W計算シート'!$Q23)&amp;"月",MONTH('6W計算シート'!$Q23)&amp;"月"))</f>
        <v/>
      </c>
      <c r="W7" s="859"/>
      <c r="X7" s="858" t="str">
        <f>IF(X10=0,"",IF(MONTH('6W計算シート'!$Q23)=12,YEAR('6W計算シート'!$Q24)&amp;"年"&amp;MONTH('6W計算シート'!$Q24)&amp;"月",MONTH('6W計算シート'!$Q24)&amp;"月"))</f>
        <v/>
      </c>
      <c r="Y7" s="859"/>
      <c r="Z7" s="858" t="str">
        <f>IF(Z10=0,"",IF(MONTH('6W計算シート'!$Q24)=12,YEAR('6W計算シート'!$Q25)&amp;"年"&amp;MONTH('6W計算シート'!$Q25)&amp;"月",MONTH('6W計算シート'!$Q25)&amp;"月"))</f>
        <v/>
      </c>
      <c r="AA7" s="859"/>
      <c r="AB7" s="858" t="str">
        <f>IF(AB10=0,"",IF(MONTH('6W計算シート'!$Q25)=12,YEAR('6W計算シート'!$Q26)&amp;"年"&amp;MONTH('6W計算シート'!$Q26)&amp;"月",MONTH('6W計算シート'!$Q26)&amp;"月"))</f>
        <v/>
      </c>
      <c r="AC7" s="859"/>
      <c r="AD7" s="858" t="str">
        <f>IF(AD10=0,"",IF(MONTH('6W計算シート'!$Q26)=12,YEAR('6W計算シート'!$Q27)&amp;"年"&amp;MONTH('6W計算シート'!$Q27)&amp;"月",MONTH('6W計算シート'!$Q27)&amp;"月"))</f>
        <v/>
      </c>
      <c r="AE7" s="859"/>
      <c r="AF7" s="857"/>
    </row>
    <row r="8" spans="1:33" ht="21" customHeight="1">
      <c r="E8" s="269" t="s">
        <v>103</v>
      </c>
      <c r="F8" s="270">
        <f>'6W計算シート'!U15</f>
        <v>19</v>
      </c>
      <c r="G8" s="271" t="s">
        <v>99</v>
      </c>
      <c r="H8" s="24">
        <f>'6W計算シート'!U16</f>
        <v>24</v>
      </c>
      <c r="I8" s="271" t="s">
        <v>99</v>
      </c>
      <c r="J8" s="24">
        <f>'6W計算シート'!U17</f>
        <v>0</v>
      </c>
      <c r="K8" s="271" t="s">
        <v>99</v>
      </c>
      <c r="L8" s="24">
        <f>'6W計算シート'!U18</f>
        <v>0</v>
      </c>
      <c r="M8" s="271" t="s">
        <v>99</v>
      </c>
      <c r="N8" s="24">
        <f>'6W計算シート'!U19</f>
        <v>0</v>
      </c>
      <c r="O8" s="271" t="s">
        <v>99</v>
      </c>
      <c r="P8" s="24">
        <f>'6W計算シート'!U20</f>
        <v>0</v>
      </c>
      <c r="Q8" s="271" t="s">
        <v>99</v>
      </c>
      <c r="R8" s="24">
        <f>'6W計算シート'!U21</f>
        <v>0</v>
      </c>
      <c r="S8" s="271" t="s">
        <v>99</v>
      </c>
      <c r="T8" s="24">
        <f>'6W計算シート'!U22</f>
        <v>0</v>
      </c>
      <c r="U8" s="271" t="s">
        <v>99</v>
      </c>
      <c r="V8" s="24">
        <f>'6W計算シート'!U23</f>
        <v>0</v>
      </c>
      <c r="W8" s="271" t="s">
        <v>99</v>
      </c>
      <c r="X8" s="24">
        <f>'6W計算シート'!U24</f>
        <v>0</v>
      </c>
      <c r="Y8" s="271" t="s">
        <v>99</v>
      </c>
      <c r="Z8" s="24">
        <f>'6W計算シート'!U25</f>
        <v>0</v>
      </c>
      <c r="AA8" s="271" t="s">
        <v>99</v>
      </c>
      <c r="AB8" s="24">
        <f>'6W計算シート'!U26</f>
        <v>0</v>
      </c>
      <c r="AC8" s="271" t="s">
        <v>99</v>
      </c>
      <c r="AD8" s="24">
        <f>'6W計算シート'!U27</f>
        <v>0</v>
      </c>
      <c r="AE8" s="25" t="s">
        <v>99</v>
      </c>
      <c r="AF8" s="272">
        <f>SUM(F8:AE8)</f>
        <v>43</v>
      </c>
    </row>
    <row r="9" spans="1:33" ht="21" customHeight="1">
      <c r="E9" s="273" t="s">
        <v>104</v>
      </c>
      <c r="F9" s="274">
        <f>'6W計算シート'!V15</f>
        <v>0</v>
      </c>
      <c r="G9" s="275" t="s">
        <v>99</v>
      </c>
      <c r="H9" s="276">
        <f>'6W計算シート'!V16</f>
        <v>4</v>
      </c>
      <c r="I9" s="275" t="s">
        <v>99</v>
      </c>
      <c r="J9" s="276">
        <f>'6W計算シート'!V17</f>
        <v>31</v>
      </c>
      <c r="K9" s="275" t="s">
        <v>99</v>
      </c>
      <c r="L9" s="276">
        <f>'6W計算シート'!V18</f>
        <v>30</v>
      </c>
      <c r="M9" s="275" t="s">
        <v>99</v>
      </c>
      <c r="N9" s="276">
        <f>'6W計算シート'!V19</f>
        <v>31</v>
      </c>
      <c r="O9" s="275" t="s">
        <v>99</v>
      </c>
      <c r="P9" s="276">
        <f>'6W計算シート'!V20</f>
        <v>30</v>
      </c>
      <c r="Q9" s="275" t="s">
        <v>99</v>
      </c>
      <c r="R9" s="276">
        <f>'6W計算シート'!V21</f>
        <v>31</v>
      </c>
      <c r="S9" s="275" t="s">
        <v>99</v>
      </c>
      <c r="T9" s="276">
        <f>'6W計算シート'!V22</f>
        <v>14</v>
      </c>
      <c r="U9" s="275" t="s">
        <v>99</v>
      </c>
      <c r="V9" s="276">
        <f>'6W計算シート'!V23</f>
        <v>0</v>
      </c>
      <c r="W9" s="275" t="s">
        <v>99</v>
      </c>
      <c r="X9" s="276">
        <f>'6W計算シート'!V24</f>
        <v>0</v>
      </c>
      <c r="Y9" s="275" t="s">
        <v>99</v>
      </c>
      <c r="Z9" s="276">
        <f>'6W計算シート'!V25</f>
        <v>0</v>
      </c>
      <c r="AA9" s="275" t="s">
        <v>99</v>
      </c>
      <c r="AB9" s="276">
        <f>'6W計算シート'!V26</f>
        <v>0</v>
      </c>
      <c r="AC9" s="275" t="s">
        <v>99</v>
      </c>
      <c r="AD9" s="276">
        <f>'6W計算シート'!V27</f>
        <v>0</v>
      </c>
      <c r="AE9" s="277" t="s">
        <v>99</v>
      </c>
      <c r="AF9" s="278">
        <f>SUM(F9:AE9)</f>
        <v>171</v>
      </c>
    </row>
    <row r="10" spans="1:33" ht="21" customHeight="1" thickBot="1">
      <c r="E10" s="279" t="s">
        <v>105</v>
      </c>
      <c r="F10" s="280">
        <f>'6W計算シート'!T15</f>
        <v>19</v>
      </c>
      <c r="G10" s="281" t="s">
        <v>99</v>
      </c>
      <c r="H10" s="282">
        <f>'6W計算シート'!T16</f>
        <v>28</v>
      </c>
      <c r="I10" s="281" t="s">
        <v>99</v>
      </c>
      <c r="J10" s="282">
        <f>'6W計算シート'!T17</f>
        <v>31</v>
      </c>
      <c r="K10" s="281" t="s">
        <v>99</v>
      </c>
      <c r="L10" s="282">
        <f>'6W計算シート'!T18</f>
        <v>30</v>
      </c>
      <c r="M10" s="281" t="s">
        <v>99</v>
      </c>
      <c r="N10" s="282">
        <f>'6W計算シート'!T19</f>
        <v>31</v>
      </c>
      <c r="O10" s="281" t="s">
        <v>99</v>
      </c>
      <c r="P10" s="282">
        <f>'6W計算シート'!T20</f>
        <v>30</v>
      </c>
      <c r="Q10" s="281" t="s">
        <v>99</v>
      </c>
      <c r="R10" s="282">
        <f>'6W計算シート'!T21</f>
        <v>31</v>
      </c>
      <c r="S10" s="281" t="s">
        <v>99</v>
      </c>
      <c r="T10" s="282">
        <f>'6W計算シート'!T22</f>
        <v>14</v>
      </c>
      <c r="U10" s="281" t="s">
        <v>99</v>
      </c>
      <c r="V10" s="282">
        <f>'6W計算シート'!T23</f>
        <v>0</v>
      </c>
      <c r="W10" s="281" t="s">
        <v>99</v>
      </c>
      <c r="X10" s="282">
        <f>'6W計算シート'!T24</f>
        <v>0</v>
      </c>
      <c r="Y10" s="281" t="s">
        <v>99</v>
      </c>
      <c r="Z10" s="282">
        <f>'6W計算シート'!T25</f>
        <v>0</v>
      </c>
      <c r="AA10" s="281" t="s">
        <v>99</v>
      </c>
      <c r="AB10" s="282">
        <f>'6W計算シート'!T26</f>
        <v>0</v>
      </c>
      <c r="AC10" s="281" t="s">
        <v>99</v>
      </c>
      <c r="AD10" s="282">
        <f>'6W計算シート'!T27</f>
        <v>0</v>
      </c>
      <c r="AE10" s="283" t="s">
        <v>99</v>
      </c>
      <c r="AF10" s="284">
        <f>SUM(F10:AE10)</f>
        <v>214</v>
      </c>
    </row>
    <row r="11" spans="1:33" ht="20.25" customHeight="1" thickBot="1">
      <c r="A11" s="863" t="s">
        <v>106</v>
      </c>
      <c r="B11" s="864"/>
      <c r="C11" s="864"/>
      <c r="D11" s="865"/>
      <c r="E11" s="285" t="s">
        <v>101</v>
      </c>
      <c r="F11" s="286" t="s">
        <v>96</v>
      </c>
      <c r="G11" s="287" t="s">
        <v>107</v>
      </c>
      <c r="H11" s="288" t="s">
        <v>96</v>
      </c>
      <c r="I11" s="287" t="s">
        <v>107</v>
      </c>
      <c r="J11" s="288" t="s">
        <v>96</v>
      </c>
      <c r="K11" s="287" t="s">
        <v>107</v>
      </c>
      <c r="L11" s="288" t="s">
        <v>96</v>
      </c>
      <c r="M11" s="287" t="s">
        <v>107</v>
      </c>
      <c r="N11" s="288" t="s">
        <v>96</v>
      </c>
      <c r="O11" s="287" t="s">
        <v>107</v>
      </c>
      <c r="P11" s="289" t="s">
        <v>96</v>
      </c>
      <c r="Q11" s="287" t="s">
        <v>107</v>
      </c>
      <c r="R11" s="289" t="s">
        <v>96</v>
      </c>
      <c r="S11" s="287" t="s">
        <v>107</v>
      </c>
      <c r="T11" s="289" t="s">
        <v>96</v>
      </c>
      <c r="U11" s="287" t="s">
        <v>107</v>
      </c>
      <c r="V11" s="289" t="s">
        <v>96</v>
      </c>
      <c r="W11" s="287" t="s">
        <v>107</v>
      </c>
      <c r="X11" s="289" t="s">
        <v>96</v>
      </c>
      <c r="Y11" s="287" t="s">
        <v>107</v>
      </c>
      <c r="Z11" s="289" t="s">
        <v>96</v>
      </c>
      <c r="AA11" s="287" t="s">
        <v>107</v>
      </c>
      <c r="AB11" s="289" t="s">
        <v>96</v>
      </c>
      <c r="AC11" s="287" t="s">
        <v>107</v>
      </c>
      <c r="AD11" s="289" t="s">
        <v>96</v>
      </c>
      <c r="AE11" s="287" t="s">
        <v>107</v>
      </c>
      <c r="AF11" s="290" t="s">
        <v>108</v>
      </c>
    </row>
    <row r="12" spans="1:33" ht="22.5" customHeight="1">
      <c r="A12" s="850" t="s">
        <v>232</v>
      </c>
      <c r="B12" s="291" t="s">
        <v>109</v>
      </c>
      <c r="C12" s="292"/>
      <c r="D12" s="293"/>
      <c r="E12" s="294"/>
      <c r="F12" s="295"/>
      <c r="G12" s="296"/>
      <c r="H12" s="297"/>
      <c r="I12" s="296"/>
      <c r="J12" s="297"/>
      <c r="K12" s="296"/>
      <c r="L12" s="297"/>
      <c r="M12" s="296"/>
      <c r="N12" s="297"/>
      <c r="O12" s="296"/>
      <c r="P12" s="297"/>
      <c r="Q12" s="296"/>
      <c r="R12" s="297"/>
      <c r="S12" s="296"/>
      <c r="T12" s="297"/>
      <c r="U12" s="296"/>
      <c r="V12" s="297"/>
      <c r="W12" s="296"/>
      <c r="X12" s="297"/>
      <c r="Y12" s="296"/>
      <c r="Z12" s="297"/>
      <c r="AA12" s="296"/>
      <c r="AB12" s="297"/>
      <c r="AC12" s="296"/>
      <c r="AD12" s="297"/>
      <c r="AE12" s="298"/>
      <c r="AF12" s="299"/>
    </row>
    <row r="13" spans="1:33" ht="30" customHeight="1">
      <c r="A13" s="851"/>
      <c r="B13" s="300"/>
      <c r="C13" s="3" t="s">
        <v>110</v>
      </c>
      <c r="D13" s="301" t="s">
        <v>111</v>
      </c>
      <c r="E13" s="302">
        <f>'6W費用試算'!$J$54</f>
        <v>11200</v>
      </c>
      <c r="F13" s="303">
        <v>1</v>
      </c>
      <c r="G13" s="304">
        <f>'6W費用試算'!$H$54</f>
        <v>11200</v>
      </c>
      <c r="H13" s="305"/>
      <c r="I13" s="304"/>
      <c r="J13" s="305"/>
      <c r="K13" s="304"/>
      <c r="L13" s="305"/>
      <c r="M13" s="304"/>
      <c r="N13" s="305"/>
      <c r="O13" s="304"/>
      <c r="P13" s="305"/>
      <c r="Q13" s="304"/>
      <c r="R13" s="305"/>
      <c r="S13" s="304"/>
      <c r="T13" s="305"/>
      <c r="U13" s="304"/>
      <c r="V13" s="305"/>
      <c r="W13" s="304"/>
      <c r="X13" s="305"/>
      <c r="Y13" s="304"/>
      <c r="Z13" s="305"/>
      <c r="AA13" s="304"/>
      <c r="AB13" s="305"/>
      <c r="AC13" s="304"/>
      <c r="AD13" s="306"/>
      <c r="AE13" s="307"/>
      <c r="AF13" s="308">
        <f ca="1">SUMIF($F$11:AE13,"金額",F13:AE13)</f>
        <v>11200</v>
      </c>
    </row>
    <row r="14" spans="1:33" ht="30" customHeight="1">
      <c r="A14" s="851"/>
      <c r="B14" s="300"/>
      <c r="C14" s="309" t="s">
        <v>112</v>
      </c>
      <c r="D14" s="310" t="s">
        <v>113</v>
      </c>
      <c r="E14" s="311">
        <f>'6W費用試算'!$J$55</f>
        <v>488000</v>
      </c>
      <c r="F14" s="312">
        <f>IF(F6="","",F8-F13-F15)</f>
        <v>18</v>
      </c>
      <c r="G14" s="313">
        <f>IF(F6="","",'6W費用試算'!$H$55*F14)</f>
        <v>219600</v>
      </c>
      <c r="H14" s="312">
        <f t="shared" ref="H14" si="0">IF(H6="","",H8-H13-H15)</f>
        <v>22</v>
      </c>
      <c r="I14" s="313">
        <f>IF(H6="","",'6W費用試算'!$H$55*H14)</f>
        <v>268400</v>
      </c>
      <c r="J14" s="312">
        <f t="shared" ref="J14" si="1">IF(J6="","",J8-J13-J15)</f>
        <v>0</v>
      </c>
      <c r="K14" s="313">
        <f>IF(J6="","",'6W費用試算'!$H$55*J14)</f>
        <v>0</v>
      </c>
      <c r="L14" s="312">
        <f t="shared" ref="L14" si="2">IF(L6="","",L8-L13-L15)</f>
        <v>0</v>
      </c>
      <c r="M14" s="313">
        <f>IF(L6="","",'6W費用試算'!$H$55*L14)</f>
        <v>0</v>
      </c>
      <c r="N14" s="312">
        <f t="shared" ref="N14" si="3">IF(N6="","",N8-N13-N15)</f>
        <v>0</v>
      </c>
      <c r="O14" s="313">
        <f>IF(N6="","",'6W費用試算'!$H$55*N14)</f>
        <v>0</v>
      </c>
      <c r="P14" s="312">
        <f t="shared" ref="P14" si="4">IF(P6="","",P8-P13-P15)</f>
        <v>0</v>
      </c>
      <c r="Q14" s="313">
        <f>IF(P6="","",'6W費用試算'!$H$55*P14)</f>
        <v>0</v>
      </c>
      <c r="R14" s="312">
        <f t="shared" ref="R14" si="5">IF(R6="","",R8-R13-R15)</f>
        <v>0</v>
      </c>
      <c r="S14" s="313">
        <f>IF(R6="","",'6W費用試算'!$H$55*R14)</f>
        <v>0</v>
      </c>
      <c r="T14" s="312">
        <f t="shared" ref="T14" si="6">IF(T6="","",T8-T13-T15)</f>
        <v>0</v>
      </c>
      <c r="U14" s="313">
        <f>IF(T6="","",'6W費用試算'!$H$55*T14)</f>
        <v>0</v>
      </c>
      <c r="V14" s="312" t="str">
        <f t="shared" ref="V14" si="7">IF(V6="","",V8-V13-V15)</f>
        <v/>
      </c>
      <c r="W14" s="313" t="str">
        <f>IF(V6="","",'6W費用試算'!$H$55*V14)</f>
        <v/>
      </c>
      <c r="X14" s="312" t="str">
        <f t="shared" ref="X14" si="8">IF(X6="","",X8-X13-X15)</f>
        <v/>
      </c>
      <c r="Y14" s="313" t="str">
        <f>IF(X6="","",'6W費用試算'!$H$55*X14)</f>
        <v/>
      </c>
      <c r="Z14" s="312" t="str">
        <f t="shared" ref="Z14" si="9">IF(Z6="","",Z8-Z13-Z15)</f>
        <v/>
      </c>
      <c r="AA14" s="313" t="str">
        <f>IF(Z6="","",'6W費用試算'!$H$55*Z14)</f>
        <v/>
      </c>
      <c r="AB14" s="312" t="str">
        <f t="shared" ref="AB14" si="10">IF(AB6="","",AB8-AB13-AB15)</f>
        <v/>
      </c>
      <c r="AC14" s="313" t="str">
        <f>IF(AB6="","",'6W費用試算'!$H$55*AB14)</f>
        <v/>
      </c>
      <c r="AD14" s="312" t="str">
        <f t="shared" ref="AD14" si="11">IF(AD6="","",AD8-AD13-AD15)</f>
        <v/>
      </c>
      <c r="AE14" s="313" t="str">
        <f>IF(AD6="","",'6W費用試算'!$H$55*AD14)</f>
        <v/>
      </c>
      <c r="AF14" s="314">
        <f ca="1">SUMIF($F$11:AE14,"金額",F14:AE14)</f>
        <v>488000</v>
      </c>
    </row>
    <row r="15" spans="1:33" ht="22.5" customHeight="1">
      <c r="A15" s="851"/>
      <c r="B15" s="291"/>
      <c r="C15" s="315" t="s">
        <v>67</v>
      </c>
      <c r="D15" s="316" t="s">
        <v>98</v>
      </c>
      <c r="E15" s="302">
        <f>'6W費用試算'!$J$56</f>
        <v>29000</v>
      </c>
      <c r="F15" s="317">
        <f>IF(F6='6W計算シート'!$O$32,VLOOKUP(F6,【研修旅行】,2,0),IF(F6='6W計算シート'!$O$33,VLOOKUP(F6,【研修旅行】,2,0),0))</f>
        <v>0</v>
      </c>
      <c r="G15" s="304">
        <f>IF(F15="","",(F15*'6W費用試算'!$H$30))</f>
        <v>0</v>
      </c>
      <c r="H15" s="318">
        <f>IF(H6='6W計算シート'!$O$32,VLOOKUP(H6,【研修旅行】,2,0),IF(H6='6W計算シート'!$O$33,VLOOKUP(H6,【研修旅行】,2,0),0))</f>
        <v>2</v>
      </c>
      <c r="I15" s="304">
        <f>IF(H15="","",(H15*'6W費用試算'!$H$30))</f>
        <v>29000</v>
      </c>
      <c r="J15" s="318">
        <f>IF(J6='6W計算シート'!$O$32,VLOOKUP(J6,【研修旅行】,2,0),IF(J6='6W計算シート'!$O$33,VLOOKUP(J6,【研修旅行】,2,0),0))</f>
        <v>0</v>
      </c>
      <c r="K15" s="304">
        <f>IF(J15="","",(J15*'6W費用試算'!$H$30))</f>
        <v>0</v>
      </c>
      <c r="L15" s="318">
        <f>IF(L6='6W計算シート'!$O$32,VLOOKUP(L6,【研修旅行】,2,0),IF(L6='6W計算シート'!$O$33,VLOOKUP(L6,【研修旅行】,2,0),0))</f>
        <v>0</v>
      </c>
      <c r="M15" s="304">
        <f>IF(L15="","",(L15*'6W費用試算'!$H$30))</f>
        <v>0</v>
      </c>
      <c r="N15" s="318">
        <f>IF(N6='6W計算シート'!$O$32,VLOOKUP(N6,【研修旅行】,2,0),IF(N6='6W計算シート'!$O$33,VLOOKUP(N6,【研修旅行】,2,0),0))</f>
        <v>0</v>
      </c>
      <c r="O15" s="304">
        <f>IF(N15="","",(N15*'6W費用試算'!$H$30))</f>
        <v>0</v>
      </c>
      <c r="P15" s="318">
        <f>IF(P6='6W計算シート'!$O$32,VLOOKUP(P6,【研修旅行】,2,0),IF(P6='6W計算シート'!$O$33,VLOOKUP(P6,【研修旅行】,2,0),0))</f>
        <v>0</v>
      </c>
      <c r="Q15" s="304">
        <f>IF(P15="","",(P15*'6W費用試算'!$H$30))</f>
        <v>0</v>
      </c>
      <c r="R15" s="318">
        <f>IF(R6='6W計算シート'!$O$32,VLOOKUP(R6,【研修旅行】,2,0),IF(R6='6W計算シート'!$O$33,VLOOKUP(R6,【研修旅行】,2,0),0))</f>
        <v>0</v>
      </c>
      <c r="S15" s="304">
        <f>IF(R15="","",(R15*'6W費用試算'!$H$30))</f>
        <v>0</v>
      </c>
      <c r="T15" s="318">
        <f>IF(T6='6W計算シート'!$O$32,VLOOKUP(T6,【研修旅行】,2,0),IF(T6='6W計算シート'!$O$33,VLOOKUP(T6,【研修旅行】,2,0),0))</f>
        <v>0</v>
      </c>
      <c r="U15" s="304">
        <f>IF(T15="","",(T15*'6W費用試算'!$H$30))</f>
        <v>0</v>
      </c>
      <c r="V15" s="318" t="str">
        <f>IF(V6='6W計算シート'!$O$32,VLOOKUP(V6,【研修旅行】,2,0),IF(V6='6W計算シート'!$O$33,VLOOKUP(V6,【研修旅行】,2,0),0))</f>
        <v/>
      </c>
      <c r="W15" s="304" t="str">
        <f>IF(V15="","",(V15*'6W費用試算'!$H$30))</f>
        <v/>
      </c>
      <c r="X15" s="318" t="str">
        <f>IF(X6='6W計算シート'!$O$32,VLOOKUP(X6,【研修旅行】,2,0),IF(X6='6W計算シート'!$O$33,VLOOKUP(X6,【研修旅行】,2,0),0))</f>
        <v/>
      </c>
      <c r="Y15" s="304" t="str">
        <f>IF(X15="","",(X15*'6W費用試算'!$H$30))</f>
        <v/>
      </c>
      <c r="Z15" s="318" t="str">
        <f>IF(Z6='6W計算シート'!$O$32,VLOOKUP(Z6,【研修旅行】,2,0),IF(Z6='6W計算シート'!$O$33,VLOOKUP(Z6,【研修旅行】,2,0),0))</f>
        <v/>
      </c>
      <c r="AA15" s="304" t="str">
        <f>IF(Z15="","",(Z15*'6W費用試算'!$H$30))</f>
        <v/>
      </c>
      <c r="AB15" s="318" t="str">
        <f>IF(AB6='6W計算シート'!$O$32,VLOOKUP(AB6,【研修旅行】,2,0),IF(AB6='6W計算シート'!$O$33,VLOOKUP(AB6,【研修旅行】,2,0),0))</f>
        <v/>
      </c>
      <c r="AC15" s="304" t="str">
        <f>IF(AB15="","",(AB15*'6W費用試算'!$H$30))</f>
        <v/>
      </c>
      <c r="AD15" s="318" t="str">
        <f>IF(AD6='6W計算シート'!$O$32,VLOOKUP(AD6,【研修旅行】,2,0),IF(AD6='6W計算シート'!$O$33,VLOOKUP(AD6,【研修旅行】,2,0),0))</f>
        <v/>
      </c>
      <c r="AE15" s="304" t="str">
        <f>IF(AD15="","",(AD15*'6W費用試算'!$H$30))</f>
        <v/>
      </c>
      <c r="AF15" s="308">
        <f ca="1">SUMIF($F$11:AE15,"金額",F15:AE15)</f>
        <v>29000</v>
      </c>
      <c r="AG15" s="319"/>
    </row>
    <row r="16" spans="1:33" ht="22.5" customHeight="1">
      <c r="A16" s="851"/>
      <c r="B16" s="291"/>
      <c r="C16" s="188"/>
      <c r="D16" s="320" t="s">
        <v>114</v>
      </c>
      <c r="E16" s="311">
        <f>'6W費用試算'!$J$57</f>
        <v>6400</v>
      </c>
      <c r="F16" s="321">
        <f t="shared" ref="F16" si="12">F15</f>
        <v>0</v>
      </c>
      <c r="G16" s="313">
        <f>IF(F16="","",(F16*'6W費用試算'!$H$31))</f>
        <v>0</v>
      </c>
      <c r="H16" s="322">
        <f t="shared" ref="H16:AD16" si="13">H15</f>
        <v>2</v>
      </c>
      <c r="I16" s="313">
        <f>IF(H16="","",(H16*'6W費用試算'!$H$31))</f>
        <v>6400</v>
      </c>
      <c r="J16" s="322">
        <f t="shared" si="13"/>
        <v>0</v>
      </c>
      <c r="K16" s="313">
        <f>IF(J16="","",(J16*'6W費用試算'!$H$31))</f>
        <v>0</v>
      </c>
      <c r="L16" s="322">
        <f t="shared" si="13"/>
        <v>0</v>
      </c>
      <c r="M16" s="313">
        <f>IF(L16="","",(L16*'6W費用試算'!$H$31))</f>
        <v>0</v>
      </c>
      <c r="N16" s="322">
        <f t="shared" si="13"/>
        <v>0</v>
      </c>
      <c r="O16" s="313">
        <f>IF(N16="","",(N16*'6W費用試算'!$H$31))</f>
        <v>0</v>
      </c>
      <c r="P16" s="322">
        <f t="shared" si="13"/>
        <v>0</v>
      </c>
      <c r="Q16" s="313">
        <f>IF(P16="","",(P16*'6W費用試算'!$H$31))</f>
        <v>0</v>
      </c>
      <c r="R16" s="322">
        <f t="shared" si="13"/>
        <v>0</v>
      </c>
      <c r="S16" s="313">
        <f>IF(R16="","",(R16*'6W費用試算'!$H$31))</f>
        <v>0</v>
      </c>
      <c r="T16" s="322">
        <f t="shared" si="13"/>
        <v>0</v>
      </c>
      <c r="U16" s="313">
        <f>IF(T16="","",(T16*'6W費用試算'!$H$31))</f>
        <v>0</v>
      </c>
      <c r="V16" s="322" t="str">
        <f t="shared" si="13"/>
        <v/>
      </c>
      <c r="W16" s="313" t="str">
        <f>IF(V16="","",(V16*'6W費用試算'!$H$31))</f>
        <v/>
      </c>
      <c r="X16" s="322" t="str">
        <f t="shared" si="13"/>
        <v/>
      </c>
      <c r="Y16" s="313" t="str">
        <f>IF(X16="","",(X16*'6W費用試算'!$H$31))</f>
        <v/>
      </c>
      <c r="Z16" s="322" t="str">
        <f t="shared" si="13"/>
        <v/>
      </c>
      <c r="AA16" s="313" t="str">
        <f>IF(Z16="","",(Z16*'6W費用試算'!$H$31))</f>
        <v/>
      </c>
      <c r="AB16" s="322" t="str">
        <f t="shared" si="13"/>
        <v/>
      </c>
      <c r="AC16" s="313" t="str">
        <f>IF(AB16="","",(AB16*'6W費用試算'!$H$31))</f>
        <v/>
      </c>
      <c r="AD16" s="322" t="str">
        <f t="shared" si="13"/>
        <v/>
      </c>
      <c r="AE16" s="313" t="str">
        <f>IF(AD16="","",(AD16*'6W費用試算'!$H$31))</f>
        <v/>
      </c>
      <c r="AF16" s="314">
        <f ca="1">SUMIF($F$11:AE16,"金額",F16:AE16)</f>
        <v>6400</v>
      </c>
      <c r="AG16" s="319"/>
    </row>
    <row r="17" spans="1:33" ht="22.5" customHeight="1">
      <c r="A17" s="851"/>
      <c r="B17" s="579" t="s">
        <v>276</v>
      </c>
      <c r="C17" s="580"/>
      <c r="D17" s="425"/>
      <c r="E17" s="577">
        <f>'6W費用試算'!$J$58</f>
        <v>36480</v>
      </c>
      <c r="F17" s="584"/>
      <c r="G17" s="583" t="str">
        <f>IF(AND(F10&gt;0,SUM($F$10:G10)=$AF$10),'6W費用試算'!$J$58,"")</f>
        <v/>
      </c>
      <c r="H17" s="581"/>
      <c r="I17" s="583" t="str">
        <f>IF(AND(H10&gt;0,SUM($F$10:I10)=$AF$10),'6W費用試算'!$J$58,"")</f>
        <v/>
      </c>
      <c r="J17" s="581"/>
      <c r="K17" s="583" t="str">
        <f>IF(AND(J10&gt;0,SUM($F$10:K10)=$AF$10),'6W費用試算'!$J$58,"")</f>
        <v/>
      </c>
      <c r="L17" s="581"/>
      <c r="M17" s="583" t="str">
        <f>IF(AND(L10&gt;0,SUM($F$10:M10)=$AF$10),'6W費用試算'!$J$58,"")</f>
        <v/>
      </c>
      <c r="N17" s="581"/>
      <c r="O17" s="583" t="str">
        <f>IF(AND(N10&gt;0,SUM($F$10:O10)=$AF$10),'6W費用試算'!$J$58,"")</f>
        <v/>
      </c>
      <c r="P17" s="581"/>
      <c r="Q17" s="583" t="str">
        <f>IF(AND(P10&gt;0,SUM($F$10:Q10)=$AF$10),'6W費用試算'!$J$58,"")</f>
        <v/>
      </c>
      <c r="R17" s="581"/>
      <c r="S17" s="583" t="str">
        <f>IF(AND(R10&gt;0,SUM($F$10:S10)=$AF$10),'6W費用試算'!$J$58,"")</f>
        <v/>
      </c>
      <c r="T17" s="581"/>
      <c r="U17" s="583">
        <f>IF(AND(T10&gt;0,SUM($F$10:U10)=$AF$10),'6W費用試算'!$J$58,"")</f>
        <v>36480</v>
      </c>
      <c r="V17" s="581"/>
      <c r="W17" s="583" t="str">
        <f>IF(AND(V10&gt;0,SUM($F$10:W10)=$AF$10),'6W費用試算'!$J$58,"")</f>
        <v/>
      </c>
      <c r="X17" s="581"/>
      <c r="Y17" s="583" t="str">
        <f>IF(AND(X10&gt;0,SUM($F$10:Y10)=$AF$10),'6W費用試算'!$J$58,"")</f>
        <v/>
      </c>
      <c r="Z17" s="581"/>
      <c r="AA17" s="583" t="str">
        <f>IF(AND(Z10&gt;0,SUM($F$10:AA10)=$AF$10),'6W費用試算'!$J$58,"")</f>
        <v/>
      </c>
      <c r="AB17" s="581"/>
      <c r="AC17" s="583" t="str">
        <f>IF(AND(AB10&gt;0,SUM($F$10:AC10)=$AF$10),'6W費用試算'!$J$58,"")</f>
        <v/>
      </c>
      <c r="AD17" s="581"/>
      <c r="AE17" s="582" t="str">
        <f>IF(AND(AD10&gt;0,SUM($F$10:AE10)=$AF$10),'6W費用試算'!$J$58,"")</f>
        <v/>
      </c>
      <c r="AF17" s="578">
        <f ca="1">SUMIF($F$11:AE17,"金額",F17:AE17)</f>
        <v>36480</v>
      </c>
      <c r="AG17" s="319"/>
    </row>
    <row r="18" spans="1:33" ht="30" customHeight="1">
      <c r="A18" s="851"/>
      <c r="B18" s="323" t="s">
        <v>115</v>
      </c>
      <c r="C18" s="324"/>
      <c r="D18" s="325" t="str">
        <f>IF(【実地研修中の宿泊】=1,"宿舎費+食費
　(朝･夕食費)","宿舎費")</f>
        <v>宿舎費</v>
      </c>
      <c r="E18" s="326">
        <f>'6W費用試算'!$J$59</f>
        <v>0</v>
      </c>
      <c r="F18" s="327">
        <f>IF(【実地研修中の宿泊】=1,F9,0)</f>
        <v>0</v>
      </c>
      <c r="G18" s="328">
        <f>IF(【実地研修中の宿泊】=1,'6W費用試算'!$H$32*F18, 0)</f>
        <v>0</v>
      </c>
      <c r="H18" s="327">
        <f>IF(【実地研修中の宿泊】=1,H9,0)</f>
        <v>0</v>
      </c>
      <c r="I18" s="328">
        <f>IF(【実地研修中の宿泊】=1,'6W費用試算'!$H$32*H18, 0)</f>
        <v>0</v>
      </c>
      <c r="J18" s="327">
        <f>IF(【実地研修中の宿泊】=1,J9,0)</f>
        <v>0</v>
      </c>
      <c r="K18" s="328">
        <f>IF(【実地研修中の宿泊】=1,'6W費用試算'!$H$32*J18, 0)</f>
        <v>0</v>
      </c>
      <c r="L18" s="327">
        <f>IF(【実地研修中の宿泊】=1,L9,0)</f>
        <v>0</v>
      </c>
      <c r="M18" s="328">
        <f>IF(【実地研修中の宿泊】=1,'6W費用試算'!$H$32*L18, 0)</f>
        <v>0</v>
      </c>
      <c r="N18" s="327">
        <f>IF(【実地研修中の宿泊】=1,N9,0)</f>
        <v>0</v>
      </c>
      <c r="O18" s="328">
        <f>IF(【実地研修中の宿泊】=1,'6W費用試算'!$H$32*N18, 0)</f>
        <v>0</v>
      </c>
      <c r="P18" s="327">
        <f>IF(【実地研修中の宿泊】=1,P9,0)</f>
        <v>0</v>
      </c>
      <c r="Q18" s="328">
        <f>IF(【実地研修中の宿泊】=1,'6W費用試算'!$H$32*P18, 0)</f>
        <v>0</v>
      </c>
      <c r="R18" s="327">
        <f>IF(【実地研修中の宿泊】=1,R9,0)</f>
        <v>0</v>
      </c>
      <c r="S18" s="328">
        <f>IF(【実地研修中の宿泊】=1,'6W費用試算'!$H$32*R18, 0)</f>
        <v>0</v>
      </c>
      <c r="T18" s="327">
        <f>IF(【実地研修中の宿泊】=1,T9,0)</f>
        <v>0</v>
      </c>
      <c r="U18" s="328">
        <f>IF(【実地研修中の宿泊】=1,'6W費用試算'!$H$32*T18, 0)</f>
        <v>0</v>
      </c>
      <c r="V18" s="327">
        <f>IF(【実地研修中の宿泊】=1,V9,0)</f>
        <v>0</v>
      </c>
      <c r="W18" s="328">
        <f>IF(【実地研修中の宿泊】=1,'6W費用試算'!$H$32*V18, 0)</f>
        <v>0</v>
      </c>
      <c r="X18" s="327">
        <f>IF(【実地研修中の宿泊】=1,X9,0)</f>
        <v>0</v>
      </c>
      <c r="Y18" s="328">
        <f>IF(【実地研修中の宿泊】=1,'6W費用試算'!$H$32*X18, 0)</f>
        <v>0</v>
      </c>
      <c r="Z18" s="327">
        <f>IF(【実地研修中の宿泊】=1,Z9,0)</f>
        <v>0</v>
      </c>
      <c r="AA18" s="328">
        <f>IF(【実地研修中の宿泊】=1,'6W費用試算'!$H$32*Z18, 0)</f>
        <v>0</v>
      </c>
      <c r="AB18" s="327">
        <f>IF(【実地研修中の宿泊】=1,AB9,0)</f>
        <v>0</v>
      </c>
      <c r="AC18" s="328">
        <f>IF(【実地研修中の宿泊】=1,'6W費用試算'!$H$32*AB18, 0)</f>
        <v>0</v>
      </c>
      <c r="AD18" s="327">
        <f>IF(【実地研修中の宿泊】=1,AD9,0)</f>
        <v>0</v>
      </c>
      <c r="AE18" s="329">
        <f>IF(【実地研修中の宿泊】=1,'6W費用試算'!$H$32*AD18, 0)</f>
        <v>0</v>
      </c>
      <c r="AF18" s="330">
        <f ca="1">SUMIF($F$11:AE18,"金額",F18:AE18)</f>
        <v>0</v>
      </c>
    </row>
    <row r="19" spans="1:33" ht="22.5" customHeight="1" thickBot="1">
      <c r="A19" s="852"/>
      <c r="B19" s="853" t="s">
        <v>92</v>
      </c>
      <c r="C19" s="854"/>
      <c r="D19" s="855"/>
      <c r="E19" s="331">
        <f>SUM(E13:E18)</f>
        <v>571080</v>
      </c>
      <c r="F19" s="332"/>
      <c r="G19" s="333">
        <f>SUM(G13:G18)</f>
        <v>230800</v>
      </c>
      <c r="H19" s="334"/>
      <c r="I19" s="333">
        <f>SUM(I13:I18)</f>
        <v>303800</v>
      </c>
      <c r="J19" s="334"/>
      <c r="K19" s="333">
        <f>SUM(K13:K18)</f>
        <v>0</v>
      </c>
      <c r="L19" s="334"/>
      <c r="M19" s="333">
        <f>SUM(M13:M18)</f>
        <v>0</v>
      </c>
      <c r="N19" s="334"/>
      <c r="O19" s="333">
        <f>SUM(O13:O18)</f>
        <v>0</v>
      </c>
      <c r="P19" s="334"/>
      <c r="Q19" s="333">
        <f>SUM(Q13:Q18)</f>
        <v>0</v>
      </c>
      <c r="R19" s="334"/>
      <c r="S19" s="333">
        <f>SUM(S13:S18)</f>
        <v>0</v>
      </c>
      <c r="T19" s="334"/>
      <c r="U19" s="333">
        <f>SUM(U13:U18)</f>
        <v>36480</v>
      </c>
      <c r="V19" s="334"/>
      <c r="W19" s="333">
        <f>SUM(W13:W18)</f>
        <v>0</v>
      </c>
      <c r="X19" s="334"/>
      <c r="Y19" s="333">
        <f>SUM(Y13:Y18)</f>
        <v>0</v>
      </c>
      <c r="Z19" s="334"/>
      <c r="AA19" s="333">
        <f>SUM(AA13:AA18)</f>
        <v>0</v>
      </c>
      <c r="AB19" s="334"/>
      <c r="AC19" s="333">
        <f>SUM(AC13:AC18)</f>
        <v>0</v>
      </c>
      <c r="AD19" s="335"/>
      <c r="AE19" s="336">
        <f>SUM(AE13:AE18)</f>
        <v>0</v>
      </c>
      <c r="AF19" s="337">
        <f ca="1">SUMIF($F$11:AE19,"金額",F19:AE19)</f>
        <v>571080</v>
      </c>
    </row>
    <row r="20" spans="1:33" ht="22.5" customHeight="1">
      <c r="A20" s="876" t="s">
        <v>231</v>
      </c>
      <c r="B20" s="338" t="s">
        <v>97</v>
      </c>
      <c r="C20" s="339"/>
      <c r="D20" s="340" t="s">
        <v>116</v>
      </c>
      <c r="E20" s="341" t="str">
        <f>'6W費用試算'!$J$26</f>
        <v>補助対象外</v>
      </c>
      <c r="F20" s="342"/>
      <c r="G20" s="343" t="str">
        <f>E20</f>
        <v>補助対象外</v>
      </c>
      <c r="H20" s="344"/>
      <c r="I20" s="343"/>
      <c r="J20" s="344"/>
      <c r="K20" s="343"/>
      <c r="L20" s="344"/>
      <c r="M20" s="343"/>
      <c r="N20" s="344"/>
      <c r="O20" s="343"/>
      <c r="P20" s="344"/>
      <c r="Q20" s="343"/>
      <c r="R20" s="344"/>
      <c r="S20" s="343"/>
      <c r="T20" s="344"/>
      <c r="U20" s="343"/>
      <c r="V20" s="344"/>
      <c r="W20" s="343"/>
      <c r="X20" s="344"/>
      <c r="Y20" s="343"/>
      <c r="Z20" s="344"/>
      <c r="AA20" s="343"/>
      <c r="AB20" s="344"/>
      <c r="AC20" s="343"/>
      <c r="AD20" s="344"/>
      <c r="AE20" s="343"/>
      <c r="AF20" s="345">
        <f ca="1">SUMIF($F$11:AE20,"金額",F20:AE20)</f>
        <v>0</v>
      </c>
    </row>
    <row r="21" spans="1:33" ht="22.5" customHeight="1">
      <c r="A21" s="877"/>
      <c r="B21" s="878" t="s">
        <v>117</v>
      </c>
      <c r="C21" s="881" t="s">
        <v>115</v>
      </c>
      <c r="D21" s="316" t="s">
        <v>98</v>
      </c>
      <c r="E21" s="346">
        <f>IF(E18&gt;0,0,'6W費用試算'!$J$32)</f>
        <v>427500</v>
      </c>
      <c r="F21" s="347">
        <f>IF(【実地研修中の宿泊】=1,0,F9)</f>
        <v>0</v>
      </c>
      <c r="G21" s="348">
        <f>IF(【実地研修中の宿泊】=1,0,IF(【実地研修中の宿泊】=2,'6W費用試算'!$H$32*F21,'6W費用試算'!$H$32*F21))</f>
        <v>0</v>
      </c>
      <c r="H21" s="306">
        <f>IF(【実地研修中の宿泊】=1,0,H9)</f>
        <v>4</v>
      </c>
      <c r="I21" s="349">
        <f>IF(【実地研修中の宿泊】=1,0,IF(【実地研修中の宿泊】=2,'6W費用試算'!$H$32*H21,'6W費用試算'!$H$32*H21))</f>
        <v>10000</v>
      </c>
      <c r="J21" s="306">
        <f>IF(【実地研修中の宿泊】=1,0,J9)</f>
        <v>31</v>
      </c>
      <c r="K21" s="349">
        <f>IF(【実地研修中の宿泊】=1,0,IF(【実地研修中の宿泊】=2,'6W費用試算'!$H$32*J21,'6W費用試算'!$H$32*J21))</f>
        <v>77500</v>
      </c>
      <c r="L21" s="306">
        <f>IF(【実地研修中の宿泊】=1,0,L9)</f>
        <v>30</v>
      </c>
      <c r="M21" s="349">
        <f>IF(【実地研修中の宿泊】=1,0,IF(【実地研修中の宿泊】=2,'6W費用試算'!$H$32*L21,'6W費用試算'!$H$32*L21))</f>
        <v>75000</v>
      </c>
      <c r="N21" s="306">
        <f>IF(【実地研修中の宿泊】=1,0,N9)</f>
        <v>31</v>
      </c>
      <c r="O21" s="349">
        <f>IF(【実地研修中の宿泊】=1,0,IF(【実地研修中の宿泊】=2,'6W費用試算'!$H$32*N21,'6W費用試算'!$H$32*N21))</f>
        <v>77500</v>
      </c>
      <c r="P21" s="306">
        <f>IF(【実地研修中の宿泊】=1,0,P9)</f>
        <v>30</v>
      </c>
      <c r="Q21" s="349">
        <f>IF(【実地研修中の宿泊】=1,0,IF(【実地研修中の宿泊】=2,'6W費用試算'!$H$32*P21,'6W費用試算'!$H$32*P21))</f>
        <v>75000</v>
      </c>
      <c r="R21" s="306">
        <f>IF(【実地研修中の宿泊】=1,0,R9)</f>
        <v>31</v>
      </c>
      <c r="S21" s="349">
        <f>IF(【実地研修中の宿泊】=1,0,IF(【実地研修中の宿泊】=2,'6W費用試算'!$H$32*R21,'6W費用試算'!$H$32*R21))</f>
        <v>77500</v>
      </c>
      <c r="T21" s="306">
        <f>IF(【実地研修中の宿泊】=1,0,T9)</f>
        <v>14</v>
      </c>
      <c r="U21" s="349">
        <f>IF(【実地研修中の宿泊】=1,0,IF(【実地研修中の宿泊】=2,'6W費用試算'!$H$32*T21,'6W費用試算'!$H$32*T21))</f>
        <v>35000</v>
      </c>
      <c r="V21" s="306">
        <f>IF(【実地研修中の宿泊】=1,0,V9)</f>
        <v>0</v>
      </c>
      <c r="W21" s="349">
        <f>IF(【実地研修中の宿泊】=1,0,IF(【実地研修中の宿泊】=2,'6W費用試算'!$H$32*V21,'6W費用試算'!$H$32*V21))</f>
        <v>0</v>
      </c>
      <c r="X21" s="306">
        <f>IF(【実地研修中の宿泊】=1,0,X9)</f>
        <v>0</v>
      </c>
      <c r="Y21" s="349">
        <f>IF(【実地研修中の宿泊】=1,0,IF(【実地研修中の宿泊】=2,'6W費用試算'!$H$32*X21,'6W費用試算'!$H$32*X21))</f>
        <v>0</v>
      </c>
      <c r="Z21" s="306">
        <f>IF(【実地研修中の宿泊】=1,0,Z9)</f>
        <v>0</v>
      </c>
      <c r="AA21" s="349">
        <f>IF(【実地研修中の宿泊】=1,0,IF(【実地研修中の宿泊】=2,'6W費用試算'!$H$32*Z21,'6W費用試算'!$H$32*Z21))</f>
        <v>0</v>
      </c>
      <c r="AB21" s="306">
        <f>IF(【実地研修中の宿泊】=1,0,AB9)</f>
        <v>0</v>
      </c>
      <c r="AC21" s="348">
        <f>IF(【実地研修中の宿泊】=1,0,IF(【実地研修中の宿泊】=2,'6W費用試算'!$H$32*AB21,'6W費用試算'!$H$32*AB21))</f>
        <v>0</v>
      </c>
      <c r="AD21" s="350">
        <f>IF(【実地研修中の宿泊】=1,0,AD9)</f>
        <v>0</v>
      </c>
      <c r="AE21" s="349">
        <f>IF(【実地研修中の宿泊】=1,0,IF(【実地研修中の宿泊】=2,'6W費用試算'!$H$32*AD21,'6W費用試算'!$H$32*AD21))</f>
        <v>0</v>
      </c>
      <c r="AF21" s="351">
        <f ca="1">SUMIF($F$11:AE21,"金額",F21:AE21)</f>
        <v>427500</v>
      </c>
    </row>
    <row r="22" spans="1:33" ht="22.5" customHeight="1">
      <c r="A22" s="877"/>
      <c r="B22" s="879"/>
      <c r="C22" s="882"/>
      <c r="D22" s="320" t="str">
        <f>'6W費用試算'!G33</f>
        <v>食費</v>
      </c>
      <c r="E22" s="352">
        <f>'6W費用試算'!$J$33</f>
        <v>547200</v>
      </c>
      <c r="F22" s="353">
        <f>F9</f>
        <v>0</v>
      </c>
      <c r="G22" s="354">
        <f>'6W費用試算'!$H$33*F22</f>
        <v>0</v>
      </c>
      <c r="H22" s="355">
        <f>H9</f>
        <v>4</v>
      </c>
      <c r="I22" s="356">
        <f>'6W費用試算'!$H$33*H22</f>
        <v>12800</v>
      </c>
      <c r="J22" s="355">
        <f>J9</f>
        <v>31</v>
      </c>
      <c r="K22" s="356">
        <f>'6W費用試算'!$H$33*J22</f>
        <v>99200</v>
      </c>
      <c r="L22" s="355">
        <f>L9</f>
        <v>30</v>
      </c>
      <c r="M22" s="356">
        <f>'6W費用試算'!$H$33*L22</f>
        <v>96000</v>
      </c>
      <c r="N22" s="355">
        <f>N9</f>
        <v>31</v>
      </c>
      <c r="O22" s="356">
        <f>'6W費用試算'!$H$33*N22</f>
        <v>99200</v>
      </c>
      <c r="P22" s="355">
        <f>P9</f>
        <v>30</v>
      </c>
      <c r="Q22" s="356">
        <f>'6W費用試算'!$H$33*P22</f>
        <v>96000</v>
      </c>
      <c r="R22" s="355">
        <f>R9</f>
        <v>31</v>
      </c>
      <c r="S22" s="356">
        <f>'6W費用試算'!$H$33*R22</f>
        <v>99200</v>
      </c>
      <c r="T22" s="355">
        <f>T9</f>
        <v>14</v>
      </c>
      <c r="U22" s="356">
        <f>'6W費用試算'!$H$33*T22</f>
        <v>44800</v>
      </c>
      <c r="V22" s="355">
        <f>V9</f>
        <v>0</v>
      </c>
      <c r="W22" s="356">
        <f>'6W費用試算'!$H$33*V22</f>
        <v>0</v>
      </c>
      <c r="X22" s="355">
        <f>X9</f>
        <v>0</v>
      </c>
      <c r="Y22" s="356">
        <f>'6W費用試算'!$H$33*X22</f>
        <v>0</v>
      </c>
      <c r="Z22" s="355">
        <f>Z9</f>
        <v>0</v>
      </c>
      <c r="AA22" s="356">
        <f>'6W費用試算'!$H$33*Z22</f>
        <v>0</v>
      </c>
      <c r="AB22" s="355">
        <f>AB9</f>
        <v>0</v>
      </c>
      <c r="AC22" s="354">
        <f>'6W費用試算'!$H$33*AB22</f>
        <v>0</v>
      </c>
      <c r="AD22" s="357">
        <f>AD9</f>
        <v>0</v>
      </c>
      <c r="AE22" s="356">
        <f>'6W費用試算'!$H$33*AD22</f>
        <v>0</v>
      </c>
      <c r="AF22" s="358">
        <f ca="1">SUMIF($F$11:AE22,"金額",F22:AE22)</f>
        <v>547200</v>
      </c>
    </row>
    <row r="23" spans="1:33" ht="22.5" customHeight="1">
      <c r="A23" s="877"/>
      <c r="B23" s="880"/>
      <c r="C23" s="359" t="s">
        <v>100</v>
      </c>
      <c r="D23" s="360"/>
      <c r="E23" s="361">
        <f>'6W費用試算'!$J$34</f>
        <v>214000</v>
      </c>
      <c r="F23" s="362">
        <f>F10</f>
        <v>19</v>
      </c>
      <c r="G23" s="363">
        <f>'6W費用試算'!$H$34*F23</f>
        <v>19000</v>
      </c>
      <c r="H23" s="364">
        <f>H10</f>
        <v>28</v>
      </c>
      <c r="I23" s="363">
        <f>'6W費用試算'!$H$34*H23</f>
        <v>28000</v>
      </c>
      <c r="J23" s="364">
        <f>J10</f>
        <v>31</v>
      </c>
      <c r="K23" s="363">
        <f>'6W費用試算'!$H$34*J23</f>
        <v>31000</v>
      </c>
      <c r="L23" s="364">
        <f>L10</f>
        <v>30</v>
      </c>
      <c r="M23" s="363">
        <f>'6W費用試算'!$H$34*L23</f>
        <v>30000</v>
      </c>
      <c r="N23" s="364">
        <f>N10</f>
        <v>31</v>
      </c>
      <c r="O23" s="363">
        <f>'6W費用試算'!$H$34*N23</f>
        <v>31000</v>
      </c>
      <c r="P23" s="364">
        <f>P10</f>
        <v>30</v>
      </c>
      <c r="Q23" s="363">
        <f>'6W費用試算'!$H$34*P23</f>
        <v>30000</v>
      </c>
      <c r="R23" s="364">
        <f>R10</f>
        <v>31</v>
      </c>
      <c r="S23" s="363">
        <f>'6W費用試算'!$H$34*R23</f>
        <v>31000</v>
      </c>
      <c r="T23" s="364">
        <f>T10</f>
        <v>14</v>
      </c>
      <c r="U23" s="363">
        <f>'6W費用試算'!$H$34*T23</f>
        <v>14000</v>
      </c>
      <c r="V23" s="364">
        <f>V10</f>
        <v>0</v>
      </c>
      <c r="W23" s="363">
        <f>'6W費用試算'!$H$34*V23</f>
        <v>0</v>
      </c>
      <c r="X23" s="364">
        <f>X10</f>
        <v>0</v>
      </c>
      <c r="Y23" s="363">
        <f>'6W費用試算'!$H$34*X23</f>
        <v>0</v>
      </c>
      <c r="Z23" s="364">
        <f>Z10</f>
        <v>0</v>
      </c>
      <c r="AA23" s="363">
        <f>'6W費用試算'!$H$34*Z23</f>
        <v>0</v>
      </c>
      <c r="AB23" s="364">
        <f>AB10</f>
        <v>0</v>
      </c>
      <c r="AC23" s="363">
        <f>'6W費用試算'!$H$34*AB23</f>
        <v>0</v>
      </c>
      <c r="AD23" s="364">
        <f>AD10</f>
        <v>0</v>
      </c>
      <c r="AE23" s="363">
        <f>'6W費用試算'!$H$34*AD23</f>
        <v>0</v>
      </c>
      <c r="AF23" s="365">
        <f ca="1">SUMIF($F$11:AE23,"金額",F23:AE23)</f>
        <v>214000</v>
      </c>
    </row>
    <row r="24" spans="1:33" ht="22.5" customHeight="1">
      <c r="A24" s="877"/>
      <c r="B24" s="366" t="str">
        <f>"実地研修費（@"&amp;TEXT('6W費用試算'!$H$36,"#,###")&amp;"×"&amp;'6W計算シート'!$C$13&amp;"日）"</f>
        <v>実地研修費（@3,360×171日）</v>
      </c>
      <c r="C24" s="367"/>
      <c r="D24" s="368"/>
      <c r="E24" s="361">
        <f>'6W費用試算'!$J$36</f>
        <v>574560</v>
      </c>
      <c r="F24" s="362">
        <f>F9</f>
        <v>0</v>
      </c>
      <c r="G24" s="363">
        <f>'6W費用試算'!$H$36*F24</f>
        <v>0</v>
      </c>
      <c r="H24" s="364">
        <f>H9</f>
        <v>4</v>
      </c>
      <c r="I24" s="363">
        <f>'6W費用試算'!$H$36*H24</f>
        <v>13440</v>
      </c>
      <c r="J24" s="364">
        <f>J9</f>
        <v>31</v>
      </c>
      <c r="K24" s="363">
        <f>'6W費用試算'!$H$36*J24</f>
        <v>104160</v>
      </c>
      <c r="L24" s="364">
        <f>L9</f>
        <v>30</v>
      </c>
      <c r="M24" s="363">
        <f>'6W費用試算'!$H$36*L24</f>
        <v>100800</v>
      </c>
      <c r="N24" s="364">
        <f>N9</f>
        <v>31</v>
      </c>
      <c r="O24" s="363">
        <f>'6W費用試算'!$H$36*N24</f>
        <v>104160</v>
      </c>
      <c r="P24" s="364">
        <f>P9</f>
        <v>30</v>
      </c>
      <c r="Q24" s="363">
        <f>'6W費用試算'!$H$36*P24</f>
        <v>100800</v>
      </c>
      <c r="R24" s="364">
        <f>R9</f>
        <v>31</v>
      </c>
      <c r="S24" s="363">
        <f>'6W費用試算'!$H$36*R24</f>
        <v>104160</v>
      </c>
      <c r="T24" s="364">
        <f>T9</f>
        <v>14</v>
      </c>
      <c r="U24" s="363">
        <f>'6W費用試算'!$H$36*T24</f>
        <v>47040</v>
      </c>
      <c r="V24" s="364">
        <f>V9</f>
        <v>0</v>
      </c>
      <c r="W24" s="363">
        <f>'6W費用試算'!$H$36*V24</f>
        <v>0</v>
      </c>
      <c r="X24" s="364">
        <f>X9</f>
        <v>0</v>
      </c>
      <c r="Y24" s="363">
        <f>'6W費用試算'!$H$36*X24</f>
        <v>0</v>
      </c>
      <c r="Z24" s="364">
        <f>Z9</f>
        <v>0</v>
      </c>
      <c r="AA24" s="363">
        <f>'6W費用試算'!$H$36*Z24</f>
        <v>0</v>
      </c>
      <c r="AB24" s="364">
        <f>AB9</f>
        <v>0</v>
      </c>
      <c r="AC24" s="363">
        <f>'6W費用試算'!$H$36*AB24</f>
        <v>0</v>
      </c>
      <c r="AD24" s="364">
        <f>AD9</f>
        <v>0</v>
      </c>
      <c r="AE24" s="369">
        <f>'6W費用試算'!$H$36*AD24</f>
        <v>0</v>
      </c>
      <c r="AF24" s="365">
        <f ca="1">SUMIF($F$11:AE24,"金額",F24:AE24)</f>
        <v>574560</v>
      </c>
    </row>
    <row r="25" spans="1:33" ht="22.5" customHeight="1">
      <c r="A25" s="877"/>
      <c r="B25" s="291" t="s">
        <v>252</v>
      </c>
      <c r="C25" s="1"/>
      <c r="D25" s="360"/>
      <c r="E25" s="372">
        <f>'6W費用試算'!$J$37</f>
        <v>14000</v>
      </c>
      <c r="F25" s="535"/>
      <c r="G25" s="536">
        <f ca="1">SUMIF('6W計算シート'!$J$5:$L$7,F$6,'6W計算シート'!$L$5:$L$7)</f>
        <v>1000</v>
      </c>
      <c r="H25" s="537"/>
      <c r="I25" s="536">
        <f ca="1">SUMIF('6W計算シート'!$J$5:$L$7,H$6,'6W計算シート'!$L$5:$L$7)</f>
        <v>10000</v>
      </c>
      <c r="J25" s="537"/>
      <c r="K25" s="536">
        <f ca="1">SUMIF('6W計算シート'!$J$5:$L$7,J$6,'6W計算シート'!$L$5:$L$7)</f>
        <v>0</v>
      </c>
      <c r="L25" s="537"/>
      <c r="M25" s="536">
        <f ca="1">SUMIF('6W計算シート'!$J$5:$L$7,L$6,'6W計算シート'!$L$5:$L$7)</f>
        <v>0</v>
      </c>
      <c r="N25" s="537"/>
      <c r="O25" s="536">
        <f ca="1">SUMIF('6W計算シート'!$J$5:$L$7,N$6,'6W計算シート'!$L$5:$L$7)</f>
        <v>0</v>
      </c>
      <c r="P25" s="537"/>
      <c r="Q25" s="536">
        <f ca="1">SUMIF('6W計算シート'!$J$5:$L$7,P$6,'6W計算シート'!$L$5:$L$7)</f>
        <v>0</v>
      </c>
      <c r="R25" s="537"/>
      <c r="S25" s="536">
        <f ca="1">SUMIF('6W計算シート'!$J$5:$L$7,R$6,'6W計算シート'!$L$5:$L$7)</f>
        <v>0</v>
      </c>
      <c r="T25" s="537"/>
      <c r="U25" s="536">
        <f ca="1">SUMIF('6W計算シート'!$J$5:$L$7,T$6,'6W計算シート'!$L$5:$L$7)</f>
        <v>3000</v>
      </c>
      <c r="V25" s="537"/>
      <c r="W25" s="536">
        <f ca="1">SUMIF('6W計算シート'!$J$5:$L$7,V$6,'6W計算シート'!$L$5:$L$7)</f>
        <v>0</v>
      </c>
      <c r="X25" s="537"/>
      <c r="Y25" s="536">
        <f ca="1">SUMIF('6W計算シート'!$J$5:$L$7,X$6,'6W計算シート'!$L$5:$L$7)</f>
        <v>0</v>
      </c>
      <c r="Z25" s="537"/>
      <c r="AA25" s="536">
        <f ca="1">SUMIF('6W計算シート'!$J$5:$L$7,Z$6,'6W計算シート'!$L$5:$L$7)</f>
        <v>0</v>
      </c>
      <c r="AB25" s="537"/>
      <c r="AC25" s="536">
        <f ca="1">SUMIF('6W計算シート'!$J$5:$L$7,AB$6,'6W計算シート'!$L$5:$L$7)</f>
        <v>0</v>
      </c>
      <c r="AD25" s="537"/>
      <c r="AE25" s="538">
        <f ca="1">SUMIF('6W計算シート'!$J$5:$L$7,AD$6,'6W計算シート'!$L$5:$L$7)</f>
        <v>0</v>
      </c>
      <c r="AF25" s="365">
        <f ca="1">SUMIF($F$11:AE25,"金額",F25:AE25)</f>
        <v>14000</v>
      </c>
    </row>
    <row r="26" spans="1:33" ht="22.5" customHeight="1" thickBot="1">
      <c r="A26" s="877"/>
      <c r="B26" s="883" t="s">
        <v>93</v>
      </c>
      <c r="C26" s="884"/>
      <c r="D26" s="885"/>
      <c r="E26" s="539">
        <f>SUM(E20:E25)</f>
        <v>1777260</v>
      </c>
      <c r="F26" s="540"/>
      <c r="G26" s="541">
        <f ca="1">SUM(G20:G25)</f>
        <v>20000</v>
      </c>
      <c r="H26" s="542"/>
      <c r="I26" s="541">
        <f ca="1">SUM(I20:I25)</f>
        <v>74240</v>
      </c>
      <c r="J26" s="542"/>
      <c r="K26" s="541">
        <f ca="1">SUM(K20:K25)</f>
        <v>311860</v>
      </c>
      <c r="L26" s="542"/>
      <c r="M26" s="541">
        <f ca="1">SUM(M20:M25)</f>
        <v>301800</v>
      </c>
      <c r="N26" s="542"/>
      <c r="O26" s="541">
        <f ca="1">SUM(O20:O25)</f>
        <v>311860</v>
      </c>
      <c r="P26" s="542"/>
      <c r="Q26" s="541">
        <f ca="1">SUM(Q20:Q25)</f>
        <v>301800</v>
      </c>
      <c r="R26" s="542"/>
      <c r="S26" s="541">
        <f ca="1">SUM(S20:S25)</f>
        <v>311860</v>
      </c>
      <c r="T26" s="542"/>
      <c r="U26" s="541">
        <f ca="1">SUM(U20:U25)</f>
        <v>143840</v>
      </c>
      <c r="V26" s="542"/>
      <c r="W26" s="541">
        <f ca="1">SUM(W20:W25)</f>
        <v>0</v>
      </c>
      <c r="X26" s="542"/>
      <c r="Y26" s="541">
        <f ca="1">SUM(Y20:Y25)</f>
        <v>0</v>
      </c>
      <c r="Z26" s="542"/>
      <c r="AA26" s="541">
        <f ca="1">SUM(AA20:AA25)</f>
        <v>0</v>
      </c>
      <c r="AB26" s="542"/>
      <c r="AC26" s="541">
        <f ca="1">SUM(AC20:AC25)</f>
        <v>0</v>
      </c>
      <c r="AD26" s="543"/>
      <c r="AE26" s="544">
        <f ca="1">SUM(AE20:AE25)</f>
        <v>0</v>
      </c>
      <c r="AF26" s="545">
        <f t="shared" ref="AF26:AF29" ca="1" si="14">SUM(F26:AE26)</f>
        <v>1777260</v>
      </c>
    </row>
    <row r="27" spans="1:33" ht="22.5" customHeight="1">
      <c r="A27" s="886" t="s">
        <v>287</v>
      </c>
      <c r="B27" s="393" t="s">
        <v>246</v>
      </c>
      <c r="C27" s="393"/>
      <c r="D27" s="546" t="str">
        <f>"(①+②)×("&amp;TEXT(VLOOKUP(【研修申込区分】,【研修申込区分別費用】,4,FALSE),"# ?/?")&amp;" )"</f>
        <v>(①+②)×( 1/2 )</v>
      </c>
      <c r="E27" s="547">
        <f>'6W費用試算'!$J$45</f>
        <v>1174170</v>
      </c>
      <c r="F27" s="342"/>
      <c r="G27" s="548">
        <f ca="1">ROUNDUP((G26+G19)*'6W費用試算'!$N$25,0)</f>
        <v>125400</v>
      </c>
      <c r="H27" s="342"/>
      <c r="I27" s="548">
        <f ca="1">ROUNDUP((I26+I19)*'6W費用試算'!$N$25,0)</f>
        <v>189020</v>
      </c>
      <c r="J27" s="342"/>
      <c r="K27" s="548">
        <f ca="1">ROUNDUP((K26+K19)*'6W費用試算'!$N$25,0)</f>
        <v>155930</v>
      </c>
      <c r="L27" s="342"/>
      <c r="M27" s="548">
        <f ca="1">ROUNDUP((M26+M19)*'6W費用試算'!$N$25,0)</f>
        <v>150900</v>
      </c>
      <c r="N27" s="342"/>
      <c r="O27" s="548">
        <f ca="1">ROUNDUP((O26+O19)*'6W費用試算'!$N$25,0)</f>
        <v>155930</v>
      </c>
      <c r="P27" s="342"/>
      <c r="Q27" s="548">
        <f ca="1">ROUNDUP((Q26+Q19)*'6W費用試算'!$N$25,0)</f>
        <v>150900</v>
      </c>
      <c r="R27" s="342"/>
      <c r="S27" s="548">
        <f ca="1">ROUNDUP((S26+S19)*'6W費用試算'!$N$25,0)</f>
        <v>155930</v>
      </c>
      <c r="T27" s="342"/>
      <c r="U27" s="548">
        <f ca="1">ROUNDUP((U26+U19)*'6W費用試算'!$N$25,0)</f>
        <v>90160</v>
      </c>
      <c r="V27" s="342"/>
      <c r="W27" s="548">
        <f ca="1">ROUNDUP((W26+W19)*'6W費用試算'!$N$25,0)</f>
        <v>0</v>
      </c>
      <c r="X27" s="342"/>
      <c r="Y27" s="548">
        <f ca="1">ROUNDUP((Y26+Y19)*'6W費用試算'!$N$25,0)</f>
        <v>0</v>
      </c>
      <c r="Z27" s="342"/>
      <c r="AA27" s="548">
        <f ca="1">ROUNDUP((AA26+AA19)*'6W費用試算'!$N$25,0)</f>
        <v>0</v>
      </c>
      <c r="AB27" s="342"/>
      <c r="AC27" s="548">
        <f ca="1">ROUNDUP((AC26+AC19)*'6W費用試算'!$N$25,0)</f>
        <v>0</v>
      </c>
      <c r="AD27" s="342"/>
      <c r="AE27" s="548">
        <f ca="1">ROUNDUP((AE26+AE19)*'6W費用試算'!$N$25,0)</f>
        <v>0</v>
      </c>
      <c r="AF27" s="345">
        <f t="shared" ca="1" si="14"/>
        <v>1174170</v>
      </c>
    </row>
    <row r="28" spans="1:33" ht="22.5" customHeight="1">
      <c r="A28" s="887"/>
      <c r="B28" s="373" t="s">
        <v>242</v>
      </c>
      <c r="C28" s="374"/>
      <c r="D28" s="375"/>
      <c r="E28" s="376">
        <f>'6W費用試算'!$J$46</f>
        <v>420000</v>
      </c>
      <c r="F28" s="377" t="s">
        <v>118</v>
      </c>
      <c r="G28" s="378">
        <f>E28</f>
        <v>420000</v>
      </c>
      <c r="H28" s="379"/>
      <c r="I28" s="378"/>
      <c r="J28" s="379"/>
      <c r="K28" s="378"/>
      <c r="L28" s="379"/>
      <c r="M28" s="378"/>
      <c r="N28" s="379"/>
      <c r="O28" s="378"/>
      <c r="P28" s="379"/>
      <c r="Q28" s="378"/>
      <c r="R28" s="379"/>
      <c r="S28" s="378"/>
      <c r="T28" s="379"/>
      <c r="U28" s="378"/>
      <c r="V28" s="379"/>
      <c r="W28" s="378"/>
      <c r="X28" s="379"/>
      <c r="Y28" s="378"/>
      <c r="Z28" s="379"/>
      <c r="AA28" s="378"/>
      <c r="AB28" s="379"/>
      <c r="AC28" s="378"/>
      <c r="AD28" s="379"/>
      <c r="AE28" s="380"/>
      <c r="AF28" s="381">
        <f t="shared" si="14"/>
        <v>420000</v>
      </c>
    </row>
    <row r="29" spans="1:33" ht="22.5" customHeight="1" thickBot="1">
      <c r="A29" s="888"/>
      <c r="B29" s="889" t="s">
        <v>94</v>
      </c>
      <c r="C29" s="890"/>
      <c r="D29" s="891"/>
      <c r="E29" s="382">
        <f>SUM(E27:E28)</f>
        <v>1594170</v>
      </c>
      <c r="F29" s="549"/>
      <c r="G29" s="550">
        <f ca="1">SUM(G27:G28)</f>
        <v>545400</v>
      </c>
      <c r="H29" s="551"/>
      <c r="I29" s="550">
        <f t="shared" ref="I29" ca="1" si="15">SUM(I27:I28)</f>
        <v>189020</v>
      </c>
      <c r="J29" s="551"/>
      <c r="K29" s="550">
        <f t="shared" ref="K29" ca="1" si="16">SUM(K27:K28)</f>
        <v>155930</v>
      </c>
      <c r="L29" s="551"/>
      <c r="M29" s="550">
        <f t="shared" ref="M29" ca="1" si="17">SUM(M27:M28)</f>
        <v>150900</v>
      </c>
      <c r="N29" s="551"/>
      <c r="O29" s="550">
        <f t="shared" ref="O29" ca="1" si="18">SUM(O27:O28)</f>
        <v>155930</v>
      </c>
      <c r="P29" s="551"/>
      <c r="Q29" s="550">
        <f t="shared" ref="Q29" ca="1" si="19">SUM(Q27:Q28)</f>
        <v>150900</v>
      </c>
      <c r="R29" s="551"/>
      <c r="S29" s="550">
        <f t="shared" ref="S29" ca="1" si="20">SUM(S27:S28)</f>
        <v>155930</v>
      </c>
      <c r="T29" s="551"/>
      <c r="U29" s="550">
        <f t="shared" ref="U29" ca="1" si="21">SUM(U27:U28)</f>
        <v>90160</v>
      </c>
      <c r="V29" s="551"/>
      <c r="W29" s="550">
        <f t="shared" ref="W29" ca="1" si="22">SUM(W27:W28)</f>
        <v>0</v>
      </c>
      <c r="X29" s="551"/>
      <c r="Y29" s="550">
        <f t="shared" ref="Y29" ca="1" si="23">SUM(Y27:Y28)</f>
        <v>0</v>
      </c>
      <c r="Z29" s="551"/>
      <c r="AA29" s="550">
        <f t="shared" ref="AA29" ca="1" si="24">SUM(AA27:AA28)</f>
        <v>0</v>
      </c>
      <c r="AB29" s="551"/>
      <c r="AC29" s="550">
        <f t="shared" ref="AC29" ca="1" si="25">SUM(AC27:AC28)</f>
        <v>0</v>
      </c>
      <c r="AD29" s="551"/>
      <c r="AE29" s="552">
        <f t="shared" ref="AE29" ca="1" si="26">SUM(AE27:AE28)</f>
        <v>0</v>
      </c>
      <c r="AF29" s="383">
        <f t="shared" ca="1" si="14"/>
        <v>1594170</v>
      </c>
    </row>
    <row r="30" spans="1:33" ht="27" customHeight="1" thickTop="1" thickBot="1">
      <c r="A30" s="892" t="s">
        <v>250</v>
      </c>
      <c r="B30" s="893"/>
      <c r="C30" s="893"/>
      <c r="D30" s="894"/>
      <c r="E30" s="384">
        <f>E26-E29</f>
        <v>183090</v>
      </c>
      <c r="F30" s="895">
        <f ca="1">G26-G29</f>
        <v>-525400</v>
      </c>
      <c r="G30" s="896"/>
      <c r="H30" s="896">
        <f ca="1">I26-I29</f>
        <v>-114780</v>
      </c>
      <c r="I30" s="896"/>
      <c r="J30" s="896">
        <f ca="1">K26-K29</f>
        <v>155930</v>
      </c>
      <c r="K30" s="896"/>
      <c r="L30" s="896">
        <f ca="1">M26-M29</f>
        <v>150900</v>
      </c>
      <c r="M30" s="896"/>
      <c r="N30" s="896">
        <f ca="1">O26-O29</f>
        <v>155930</v>
      </c>
      <c r="O30" s="896"/>
      <c r="P30" s="896">
        <f ca="1">Q26-Q29</f>
        <v>150900</v>
      </c>
      <c r="Q30" s="896"/>
      <c r="R30" s="896">
        <f ca="1">S26-S29</f>
        <v>155930</v>
      </c>
      <c r="S30" s="896"/>
      <c r="T30" s="896">
        <f ca="1">U26-U29</f>
        <v>53680</v>
      </c>
      <c r="U30" s="896"/>
      <c r="V30" s="896">
        <f ca="1">W26-W29</f>
        <v>0</v>
      </c>
      <c r="W30" s="896"/>
      <c r="X30" s="896">
        <f ca="1">Y26-Y29</f>
        <v>0</v>
      </c>
      <c r="Y30" s="896"/>
      <c r="Z30" s="896">
        <f ca="1">AA26-AA29</f>
        <v>0</v>
      </c>
      <c r="AA30" s="896"/>
      <c r="AB30" s="896">
        <f ca="1">AC26-AC29</f>
        <v>0</v>
      </c>
      <c r="AC30" s="896"/>
      <c r="AD30" s="896">
        <f ca="1">AE26-AE29</f>
        <v>0</v>
      </c>
      <c r="AE30" s="897"/>
      <c r="AF30" s="371">
        <f ca="1">SUM(F30:AE30)</f>
        <v>183090</v>
      </c>
    </row>
    <row r="31" spans="1:33" ht="32.25" customHeight="1" thickTop="1" thickBot="1">
      <c r="A31" s="898" t="s">
        <v>119</v>
      </c>
      <c r="B31" s="899"/>
      <c r="C31" s="899"/>
      <c r="D31" s="900"/>
      <c r="E31" s="385"/>
      <c r="F31" s="901">
        <f ca="1">IF(F30=0,"",F30)</f>
        <v>-525400</v>
      </c>
      <c r="G31" s="902"/>
      <c r="H31" s="903">
        <f ca="1">IF(H30=0,"",H30+F31)</f>
        <v>-640180</v>
      </c>
      <c r="I31" s="902"/>
      <c r="J31" s="903">
        <f t="shared" ref="J31" ca="1" si="27">IF(J30=0,"",J30+H31)</f>
        <v>-484250</v>
      </c>
      <c r="K31" s="902"/>
      <c r="L31" s="903">
        <f t="shared" ref="L31" ca="1" si="28">IF(L30=0,"",L30+J31)</f>
        <v>-333350</v>
      </c>
      <c r="M31" s="902"/>
      <c r="N31" s="903">
        <f t="shared" ref="N31" ca="1" si="29">IF(N30=0,"",N30+L31)</f>
        <v>-177420</v>
      </c>
      <c r="O31" s="902"/>
      <c r="P31" s="903">
        <f t="shared" ref="P31" ca="1" si="30">IF(P30=0,"",P30+N31)</f>
        <v>-26520</v>
      </c>
      <c r="Q31" s="902"/>
      <c r="R31" s="903">
        <f t="shared" ref="R31" ca="1" si="31">IF(R30=0,"",R30+P31)</f>
        <v>129410</v>
      </c>
      <c r="S31" s="902"/>
      <c r="T31" s="903">
        <f t="shared" ref="T31" ca="1" si="32">IF(T30=0,"",T30+R31)</f>
        <v>183090</v>
      </c>
      <c r="U31" s="902"/>
      <c r="V31" s="903" t="str">
        <f t="shared" ref="V31" ca="1" si="33">IF(V30=0,"",V30+T31)</f>
        <v/>
      </c>
      <c r="W31" s="902"/>
      <c r="X31" s="903" t="str">
        <f t="shared" ref="X31" ca="1" si="34">IF(X30=0,"",X30+V31)</f>
        <v/>
      </c>
      <c r="Y31" s="902"/>
      <c r="Z31" s="903" t="str">
        <f t="shared" ref="Z31" ca="1" si="35">IF(Z30=0,"",Z30+X31)</f>
        <v/>
      </c>
      <c r="AA31" s="902"/>
      <c r="AB31" s="903" t="str">
        <f t="shared" ref="AB31" ca="1" si="36">IF(AB30=0,"",AB30+Z31)</f>
        <v/>
      </c>
      <c r="AC31" s="902"/>
      <c r="AD31" s="903" t="str">
        <f t="shared" ref="AD31" ca="1" si="37">IF(AD30=0,"",AD30+AB31)</f>
        <v/>
      </c>
      <c r="AE31" s="904"/>
      <c r="AF31" s="1"/>
    </row>
    <row r="32" spans="1:33" ht="20.100000000000001" customHeight="1" thickTop="1">
      <c r="A32" s="1" t="s">
        <v>233</v>
      </c>
      <c r="B32" s="32"/>
      <c r="C32" s="32"/>
      <c r="D32" s="32"/>
      <c r="E32" s="386"/>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908"/>
      <c r="AE32" s="908"/>
      <c r="AF32" s="1"/>
    </row>
    <row r="33" spans="2:32" ht="13.5" customHeight="1">
      <c r="E33" s="388"/>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row>
    <row r="34" spans="2:32" ht="13.5" customHeight="1">
      <c r="E34" s="389"/>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row>
    <row r="35" spans="2:32" ht="13.5" customHeight="1">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row>
    <row r="36" spans="2:32" ht="13.5" customHeight="1">
      <c r="E36" s="389"/>
      <c r="F36" s="389"/>
      <c r="G36" s="389"/>
      <c r="H36" s="389"/>
      <c r="I36" s="389"/>
      <c r="J36" s="389"/>
      <c r="K36" s="389"/>
      <c r="L36" s="389"/>
      <c r="M36" s="389"/>
      <c r="N36" s="389"/>
      <c r="O36" s="389"/>
      <c r="P36" s="389"/>
      <c r="Q36" s="389"/>
      <c r="R36" s="389"/>
      <c r="S36" s="389"/>
      <c r="T36" s="389"/>
      <c r="U36" s="389"/>
      <c r="V36" s="389"/>
      <c r="W36" s="389"/>
      <c r="X36" s="389"/>
      <c r="Y36" s="389"/>
      <c r="Z36" s="389"/>
      <c r="AA36" s="389"/>
      <c r="AB36" s="389"/>
      <c r="AC36" s="389"/>
    </row>
    <row r="37" spans="2:32" ht="13.5" customHeight="1">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row>
    <row r="38" spans="2:32" ht="20.100000000000001" customHeight="1" thickBot="1">
      <c r="B38" s="153" t="s">
        <v>95</v>
      </c>
      <c r="C38" s="1"/>
      <c r="D38" s="1"/>
      <c r="E38" s="390"/>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91"/>
      <c r="AE38" s="266"/>
      <c r="AF38" s="1"/>
    </row>
    <row r="39" spans="2:32" ht="20.25" customHeight="1">
      <c r="B39" s="392"/>
      <c r="C39" s="393"/>
      <c r="D39" s="394"/>
      <c r="E39" s="395"/>
      <c r="F39" s="909" t="s">
        <v>109</v>
      </c>
      <c r="G39" s="910"/>
      <c r="H39" s="396" t="s">
        <v>115</v>
      </c>
      <c r="I39" s="397"/>
      <c r="J39" s="397"/>
      <c r="K39" s="397"/>
      <c r="L39" s="397"/>
      <c r="M39" s="397"/>
      <c r="N39" s="397"/>
      <c r="O39" s="397"/>
      <c r="P39" s="397"/>
      <c r="Q39" s="397"/>
      <c r="R39" s="397"/>
      <c r="S39" s="397"/>
      <c r="T39" s="397"/>
      <c r="U39" s="397"/>
      <c r="V39" s="397"/>
      <c r="W39" s="397"/>
      <c r="X39" s="397"/>
      <c r="Y39" s="397"/>
      <c r="Z39" s="397"/>
      <c r="AA39" s="397"/>
      <c r="AB39" s="397"/>
      <c r="AC39" s="397"/>
      <c r="AD39" s="398"/>
      <c r="AE39" s="399"/>
      <c r="AF39" s="395"/>
    </row>
    <row r="40" spans="2:32" ht="20.25" customHeight="1" thickBot="1">
      <c r="B40" s="400"/>
      <c r="C40" s="1"/>
      <c r="D40" s="401"/>
      <c r="E40" s="402" t="s">
        <v>101</v>
      </c>
      <c r="F40" s="403"/>
      <c r="G40" s="404">
        <f>'6W計算シート'!$C$10</f>
        <v>46442</v>
      </c>
      <c r="H40" s="405" t="str">
        <f>IF($G$40='6W計算シート'!$C$14,"",YEAR($I$40)&amp;"/"&amp;MONTH($I$40))</f>
        <v>2027/2</v>
      </c>
      <c r="I40" s="406">
        <f>IF('6W計算シート'!$C$12=0,"",'6W計算シート'!$C$12)</f>
        <v>46443</v>
      </c>
      <c r="J40" s="911" t="str">
        <f>IF(OR('6W計算シート'!$C$13=H45,'6W計算シート'!$C$12=0),"",IF(MONTH($I$40)=12,YEAR($I$40)+1&amp;"/"&amp;"1",YEAR($I$40)&amp;"/"&amp;MONTH($I$40)+1))</f>
        <v>2027/3</v>
      </c>
      <c r="K40" s="912"/>
      <c r="L40" s="911" t="str">
        <f ca="1">IF(OR('6W計算シート'!$C$13=SUMIF($H$41:K$45,"日数/回",$H$45:K$45),'6W計算シート'!$C$12=0),"",IF(MID(J40,6,2)="12",LEFT(J40,4)+1&amp;"/"&amp;"1",LEFT(J40,4)&amp;"/"&amp;MID(J40,6,2)+1))</f>
        <v>2027/4</v>
      </c>
      <c r="M40" s="912"/>
      <c r="N40" s="911" t="str">
        <f ca="1">IF(OR('6W計算シート'!$C$13=SUMIF($H$41:M$45,"日数/回",$H$45:M$45),'6W計算シート'!$C$12=0),"",IF(MID(L40,6,2)="12",LEFT(L40,4)+1&amp;"/"&amp;"1",LEFT(L40,4)&amp;"/"&amp;MID(L40,6,2)+1))</f>
        <v>2027/5</v>
      </c>
      <c r="O40" s="912"/>
      <c r="P40" s="911" t="str">
        <f ca="1">IF(OR('6W計算シート'!$C$13=SUMIF($H$41:O$45,"日数/回",$H$45:O$45),'6W計算シート'!$C$12=0),"",IF(MID(N40,6,2)="12",LEFT(N40,4)+1&amp;"/"&amp;"1",LEFT(N40,4)&amp;"/"&amp;MID(N40,6,2)+1))</f>
        <v>2027/6</v>
      </c>
      <c r="Q40" s="912"/>
      <c r="R40" s="911" t="str">
        <f ca="1">IF(OR('6W計算シート'!$C$13=SUMIF($H$41:Q$45,"日数/回",$H$45:Q$45),'6W計算シート'!$C$12=0),"",IF(MID(P40,6,2)="12",LEFT(P40,4)+1&amp;"/"&amp;"1",LEFT(P40,4)&amp;"/"&amp;MID(P40,6,2)+1))</f>
        <v>2027/7</v>
      </c>
      <c r="S40" s="912"/>
      <c r="T40" s="911" t="str">
        <f ca="1">IF(OR('6W計算シート'!$C$13=SUMIF($H$41:S$45,"日数/回",$H$45:S$45),'6W計算シート'!$C$12=0),"",IF(MID(R40,6,2)="12",LEFT(R40,4)+1&amp;"/"&amp;"1",LEFT(R40,4)&amp;"/"&amp;MID(R40,6,2)+1))</f>
        <v>2027/8</v>
      </c>
      <c r="U40" s="912"/>
      <c r="V40" s="911" t="str">
        <f ca="1">IF(OR('6W計算シート'!$C$13=SUMIF($H$41:U$45,"日数/回",$H$45:U$45),'6W計算シート'!$C$12=0),"",IF(MID(T40,6,2)="12",LEFT(T40,4)+1&amp;"/"&amp;"1",LEFT(T40,4)&amp;"/"&amp;MID(T40,6,2)+1))</f>
        <v/>
      </c>
      <c r="W40" s="912"/>
      <c r="X40" s="911" t="str">
        <f ca="1">IF(OR('6W計算シート'!$C$13=SUMIF($H$41:W$45,"日数/回",$H$45:W$45),'6W計算シート'!$C$12=0),"",IF(MID(V40,6,2)="12",LEFT(V40,4)+1&amp;"/"&amp;"1",LEFT(V40,4)&amp;"/"&amp;MID(V40,6,2)+1))</f>
        <v/>
      </c>
      <c r="Y40" s="912"/>
      <c r="Z40" s="911" t="str">
        <f ca="1">IF(OR('6W計算シート'!$C$13=SUMIF($H$41:Y$45,"日数/回",$H$45:Y$45),'6W計算シート'!$C$12=0),"",IF(MID(X40,6,2)="12",LEFT(X40,4)+1&amp;"/"&amp;"1",LEFT(X40,4)&amp;"/"&amp;MID(X40,6,2)+1))</f>
        <v/>
      </c>
      <c r="AA40" s="912"/>
      <c r="AB40" s="911" t="str">
        <f ca="1">IF(OR('6W計算シート'!$C$13=SUMIF($H$41:AA$45,"日数/回",$H$45:AA$45),'6W計算シート'!$C$12=0),"",IF(MID(Z40,6,2)="12",LEFT(Z40,4)+1&amp;"/"&amp;"1",LEFT(Z40,4)&amp;"/"&amp;MID(Z40,6,2)+1))</f>
        <v/>
      </c>
      <c r="AC40" s="912"/>
      <c r="AD40" s="911" t="str">
        <f ca="1">IF(OR('6W計算シート'!$C$13=SUMIF($H$41:AC$45,"日数/回",$H$45:AC$45),'6W計算シート'!$C$12=0),"",IF(MID(AB40,6,2)="12",LEFT(AB40,4)+1&amp;"/"&amp;"1",LEFT(AB40,4)&amp;"/"&amp;MID(AB40,6,2)+1))</f>
        <v/>
      </c>
      <c r="AE40" s="913"/>
      <c r="AF40" s="402" t="s">
        <v>108</v>
      </c>
    </row>
    <row r="41" spans="2:32" ht="20.25" customHeight="1" thickBot="1">
      <c r="B41" s="407"/>
      <c r="C41" s="370"/>
      <c r="D41" s="86"/>
      <c r="E41" s="408"/>
      <c r="F41" s="409" t="s">
        <v>96</v>
      </c>
      <c r="G41" s="287" t="s">
        <v>107</v>
      </c>
      <c r="H41" s="288" t="s">
        <v>96</v>
      </c>
      <c r="I41" s="287" t="s">
        <v>107</v>
      </c>
      <c r="J41" s="288" t="s">
        <v>96</v>
      </c>
      <c r="K41" s="287" t="s">
        <v>107</v>
      </c>
      <c r="L41" s="288" t="s">
        <v>96</v>
      </c>
      <c r="M41" s="287" t="s">
        <v>107</v>
      </c>
      <c r="N41" s="288" t="s">
        <v>96</v>
      </c>
      <c r="O41" s="287" t="s">
        <v>107</v>
      </c>
      <c r="P41" s="289" t="s">
        <v>96</v>
      </c>
      <c r="Q41" s="287" t="s">
        <v>107</v>
      </c>
      <c r="R41" s="289" t="s">
        <v>96</v>
      </c>
      <c r="S41" s="287" t="s">
        <v>107</v>
      </c>
      <c r="T41" s="289" t="s">
        <v>96</v>
      </c>
      <c r="U41" s="287" t="s">
        <v>107</v>
      </c>
      <c r="V41" s="289" t="s">
        <v>96</v>
      </c>
      <c r="W41" s="287" t="s">
        <v>107</v>
      </c>
      <c r="X41" s="289" t="s">
        <v>96</v>
      </c>
      <c r="Y41" s="287" t="s">
        <v>107</v>
      </c>
      <c r="Z41" s="289" t="s">
        <v>96</v>
      </c>
      <c r="AA41" s="287" t="s">
        <v>107</v>
      </c>
      <c r="AB41" s="289" t="s">
        <v>96</v>
      </c>
      <c r="AC41" s="287" t="s">
        <v>107</v>
      </c>
      <c r="AD41" s="289" t="s">
        <v>96</v>
      </c>
      <c r="AE41" s="410" t="s">
        <v>107</v>
      </c>
      <c r="AF41" s="408"/>
    </row>
    <row r="42" spans="2:32" ht="21.75" customHeight="1">
      <c r="B42" s="905" t="s">
        <v>251</v>
      </c>
      <c r="C42" s="906"/>
      <c r="D42" s="907"/>
      <c r="E42" s="413" t="str">
        <f>'6W費用試算'!$J$26</f>
        <v>補助対象外</v>
      </c>
      <c r="F42" s="414"/>
      <c r="G42" s="534" t="str">
        <f>'6W費用試算'!$J$26</f>
        <v>補助対象外</v>
      </c>
      <c r="H42" s="416"/>
      <c r="I42" s="415"/>
      <c r="J42" s="416"/>
      <c r="K42" s="415"/>
      <c r="L42" s="416"/>
      <c r="M42" s="415"/>
      <c r="N42" s="416"/>
      <c r="O42" s="415"/>
      <c r="P42" s="416"/>
      <c r="Q42" s="415"/>
      <c r="R42" s="416"/>
      <c r="S42" s="415"/>
      <c r="T42" s="416"/>
      <c r="U42" s="415"/>
      <c r="V42" s="416"/>
      <c r="W42" s="415"/>
      <c r="X42" s="416"/>
      <c r="Y42" s="415"/>
      <c r="Z42" s="416"/>
      <c r="AA42" s="415"/>
      <c r="AB42" s="416"/>
      <c r="AC42" s="415"/>
      <c r="AD42" s="416"/>
      <c r="AE42" s="417"/>
      <c r="AF42" s="585" t="str">
        <f>$E$42</f>
        <v>補助対象外</v>
      </c>
    </row>
    <row r="43" spans="2:32" ht="21.75" customHeight="1">
      <c r="B43" s="400" t="s">
        <v>278</v>
      </c>
      <c r="C43" s="586"/>
      <c r="D43" s="587"/>
      <c r="E43" s="413">
        <f>'6W費用試算'!$J$37</f>
        <v>14000</v>
      </c>
      <c r="F43" s="414"/>
      <c r="G43" s="534">
        <f>'6W計算シート'!$L$5</f>
        <v>1000</v>
      </c>
      <c r="H43" s="416"/>
      <c r="I43" s="415">
        <f ca="1">SUMIF('6W計算シート'!$K$5:$L$7,H$40,'6W計算シート'!$L$5:$L$7)</f>
        <v>10000</v>
      </c>
      <c r="J43" s="416"/>
      <c r="K43" s="415">
        <f ca="1">SUMIF('6W計算シート'!$K$5:$L$7,J$40,'6W計算シート'!$L$5:$L$7)</f>
        <v>0</v>
      </c>
      <c r="L43" s="416"/>
      <c r="M43" s="415">
        <f ca="1">SUMIF('6W計算シート'!$K$5:$L$7,L$40,'6W計算シート'!$L$5:$L$7)</f>
        <v>0</v>
      </c>
      <c r="N43" s="416"/>
      <c r="O43" s="415">
        <f ca="1">SUMIF('6W計算シート'!$K$5:$L$7,N$40,'6W計算シート'!$L$5:$L$7)</f>
        <v>0</v>
      </c>
      <c r="P43" s="416"/>
      <c r="Q43" s="415">
        <f ca="1">SUMIF('6W計算シート'!$K$5:$L$7,P$40,'6W計算シート'!$L$5:$L$7)</f>
        <v>0</v>
      </c>
      <c r="R43" s="416"/>
      <c r="S43" s="415">
        <f ca="1">SUMIF('6W計算シート'!$K$5:$L$7,R$40,'6W計算シート'!$L$5:$L$7)</f>
        <v>0</v>
      </c>
      <c r="T43" s="416"/>
      <c r="U43" s="415">
        <f ca="1">SUMIF('6W計算シート'!$K$5:$L$7,T$40,'6W計算シート'!$L$5:$L$7)</f>
        <v>3000</v>
      </c>
      <c r="V43" s="416"/>
      <c r="W43" s="415">
        <f ca="1">SUMIF('6W計算シート'!$K$5:$L$7,V$40,'6W計算シート'!$L$5:$L$7)</f>
        <v>0</v>
      </c>
      <c r="X43" s="416"/>
      <c r="Y43" s="415">
        <f ca="1">SUMIF('6W計算シート'!$K$5:$L$7,X$40,'6W計算シート'!$L$5:$L$7)</f>
        <v>0</v>
      </c>
      <c r="Z43" s="416"/>
      <c r="AA43" s="415">
        <f ca="1">SUMIF('6W計算シート'!$K$5:$L$7,Z$40,'6W計算シート'!$L$5:$L$7)</f>
        <v>0</v>
      </c>
      <c r="AB43" s="416"/>
      <c r="AC43" s="415">
        <f ca="1">SUMIF('6W計算シート'!$K$5:$L$7,AB$40,'6W計算シート'!$L$5:$L$7)</f>
        <v>0</v>
      </c>
      <c r="AD43" s="416"/>
      <c r="AE43" s="417">
        <f ca="1">SUMIF('6W計算シート'!$K$5:$L$7,AD$40,'6W計算シート'!$L$5:$L$7)</f>
        <v>0</v>
      </c>
      <c r="AF43" s="585">
        <f ca="1">SUMIF($F$41:$AE43,"金額",$F43:$AE43)</f>
        <v>14000</v>
      </c>
    </row>
    <row r="44" spans="2:32" ht="21.75" customHeight="1" thickBot="1">
      <c r="B44" s="871" t="s">
        <v>120</v>
      </c>
      <c r="C44" s="872"/>
      <c r="D44" s="873"/>
      <c r="E44" s="418">
        <f>IF(【実地研修中の宿泊】=3,'6W費用試算'!$J$32,0)</f>
        <v>427500</v>
      </c>
      <c r="F44" s="419"/>
      <c r="G44" s="420">
        <v>0</v>
      </c>
      <c r="H44" s="421">
        <f>IF(H$40="",0,IF(【実地研修中の宿泊】=3,IF('6W計算シート'!$C$12=0,0,VLOOKUP(H$40,【研修日数】,10,FALSE)),0))</f>
        <v>4</v>
      </c>
      <c r="I44" s="420">
        <f>'6W費用試算'!$H$32*H44</f>
        <v>10000</v>
      </c>
      <c r="J44" s="421">
        <f>IF(J$40="",0,IF(【実地研修中の宿泊】=3,IF('6W計算シート'!$C$12=0,0,VLOOKUP(J$40,【研修日数】,10,FALSE)),0))</f>
        <v>31</v>
      </c>
      <c r="K44" s="420">
        <f>'6W費用試算'!$H$32*J44</f>
        <v>77500</v>
      </c>
      <c r="L44" s="421">
        <f ca="1">IF(L$40="",0,IF(【実地研修中の宿泊】=3,IF('6W計算シート'!$C$12=0,0,VLOOKUP(L$40,【研修日数】,10,FALSE)),0))</f>
        <v>30</v>
      </c>
      <c r="M44" s="420">
        <f ca="1">'6W費用試算'!$H$32*L44</f>
        <v>75000</v>
      </c>
      <c r="N44" s="421">
        <f ca="1">IF(N$40="",0,IF(【実地研修中の宿泊】=3,IF('6W計算シート'!$C$12=0,0,VLOOKUP(N$40,【研修日数】,10,FALSE)),0))</f>
        <v>31</v>
      </c>
      <c r="O44" s="420">
        <f ca="1">'6W費用試算'!$H$32*N44</f>
        <v>77500</v>
      </c>
      <c r="P44" s="421">
        <f ca="1">IF(P$40="",0,IF(【実地研修中の宿泊】=3,IF('6W計算シート'!$C$12=0,0,VLOOKUP(P$40,【研修日数】,10,FALSE)),0))</f>
        <v>30</v>
      </c>
      <c r="Q44" s="422">
        <f ca="1">'6W費用試算'!$H$32*P44</f>
        <v>75000</v>
      </c>
      <c r="R44" s="421">
        <f ca="1">IF(R$40="",0,IF(【実地研修中の宿泊】=3,IF('6W計算シート'!$C$12=0,0,VLOOKUP(R$40,【研修日数】,10,FALSE)),0))</f>
        <v>31</v>
      </c>
      <c r="S44" s="422">
        <f ca="1">'6W費用試算'!$H$32*R44</f>
        <v>77500</v>
      </c>
      <c r="T44" s="421">
        <f ca="1">IF(T$40="",0,IF(【実地研修中の宿泊】=3,IF('6W計算シート'!$C$12=0,0,VLOOKUP(T$40,【研修日数】,10,FALSE)),0))</f>
        <v>14</v>
      </c>
      <c r="U44" s="422">
        <f ca="1">'6W費用試算'!$H$32*T44</f>
        <v>35000</v>
      </c>
      <c r="V44" s="421">
        <f ca="1">IF(V$40="",0,IF(【実地研修中の宿泊】=3,IF('6W計算シート'!$C$12=0,0,VLOOKUP(V$40,【研修日数】,10,FALSE)),0))</f>
        <v>0</v>
      </c>
      <c r="W44" s="422">
        <f ca="1">'6W費用試算'!$H$32*V44</f>
        <v>0</v>
      </c>
      <c r="X44" s="421">
        <f ca="1">IF(X$40="",0,IF(【実地研修中の宿泊】=3,IF('6W計算シート'!$C$12=0,0,VLOOKUP(X$40,【研修日数】,10,FALSE)),0))</f>
        <v>0</v>
      </c>
      <c r="Y44" s="422">
        <f ca="1">'6W費用試算'!$H$32*X44</f>
        <v>0</v>
      </c>
      <c r="Z44" s="421">
        <f ca="1">IF(Z$40="",0,IF(【実地研修中の宿泊】=3,IF('6W計算シート'!$C$12=0,0,VLOOKUP(Z$40,【研修日数】,10,FALSE)),0))</f>
        <v>0</v>
      </c>
      <c r="AA44" s="422">
        <f ca="1">'6W費用試算'!$H$32*Z44</f>
        <v>0</v>
      </c>
      <c r="AB44" s="421">
        <f ca="1">IF(AB$40="",0,IF(【実地研修中の宿泊】=3,IF('6W計算シート'!$C$12=0,0,VLOOKUP(AB$40,【研修日数】,10,FALSE)),0))</f>
        <v>0</v>
      </c>
      <c r="AC44" s="422">
        <f ca="1">'6W費用試算'!$H$32*AB44</f>
        <v>0</v>
      </c>
      <c r="AD44" s="421">
        <f ca="1">IF(AD$40="",0,IF(【実地研修中の宿泊】=3,IF('6W計算シート'!$C$12=0,0,VLOOKUP(AD$40,【研修日数】,10,FALSE)),0))</f>
        <v>0</v>
      </c>
      <c r="AE44" s="423">
        <f ca="1">'6W費用試算'!$H$32*AD44</f>
        <v>0</v>
      </c>
      <c r="AF44" s="418">
        <f ca="1">SUMIF($F$41:$AE44,"金額",$F44:$AE44)</f>
        <v>427500</v>
      </c>
    </row>
    <row r="45" spans="2:32" ht="21.75" customHeight="1" thickTop="1">
      <c r="B45" s="424" t="str">
        <f>"実地研修中食費（@"&amp;TEXT('6W費用試算'!$H$33,"#,###")&amp;"×"&amp;'6W費用試算'!$I$33&amp;"日）"</f>
        <v>実地研修中食費（@3,200×171日）</v>
      </c>
      <c r="C45" s="293"/>
      <c r="D45" s="425"/>
      <c r="E45" s="426">
        <f>'6W費用試算'!$J$33</f>
        <v>547200</v>
      </c>
      <c r="F45" s="427"/>
      <c r="G45" s="428">
        <v>0</v>
      </c>
      <c r="H45" s="429">
        <f>IF(H$40="",0,VLOOKUP(H$40,【研修日数】,10,FALSE))</f>
        <v>4</v>
      </c>
      <c r="I45" s="428">
        <f>'6W費用試算'!$H$33*H45</f>
        <v>12800</v>
      </c>
      <c r="J45" s="429">
        <f>IF(J$40="",0,VLOOKUP(J$40,【研修日数】,10,FALSE))</f>
        <v>31</v>
      </c>
      <c r="K45" s="428">
        <f>'6W費用試算'!$H$33*J45</f>
        <v>99200</v>
      </c>
      <c r="L45" s="429">
        <f ca="1">IF(L$40="",0,VLOOKUP(L$40,【研修日数】,10,FALSE))</f>
        <v>30</v>
      </c>
      <c r="M45" s="428">
        <f ca="1">'6W費用試算'!$H$33*L45</f>
        <v>96000</v>
      </c>
      <c r="N45" s="429">
        <f ca="1">IF(N$40="",0,VLOOKUP(N$40,【研修日数】,10,FALSE))</f>
        <v>31</v>
      </c>
      <c r="O45" s="428">
        <f ca="1">'6W費用試算'!$H$33*N45</f>
        <v>99200</v>
      </c>
      <c r="P45" s="429">
        <f ca="1">IF(P$40="",0,VLOOKUP(P$40,【研修日数】,10,FALSE))</f>
        <v>30</v>
      </c>
      <c r="Q45" s="430">
        <f ca="1">'6W費用試算'!$H$33*P45</f>
        <v>96000</v>
      </c>
      <c r="R45" s="429">
        <f ca="1">IF(R$40="",0,VLOOKUP(R$40,【研修日数】,10,FALSE))</f>
        <v>31</v>
      </c>
      <c r="S45" s="430">
        <f ca="1">'6W費用試算'!$H$33*R45</f>
        <v>99200</v>
      </c>
      <c r="T45" s="429">
        <f ca="1">IF(T$40="",0,VLOOKUP(T$40,【研修日数】,10,FALSE))</f>
        <v>14</v>
      </c>
      <c r="U45" s="430">
        <f ca="1">'6W費用試算'!$H$33*T45</f>
        <v>44800</v>
      </c>
      <c r="V45" s="429">
        <f ca="1">IF(V$40="",0,VLOOKUP(V$40,【研修日数】,10,FALSE))</f>
        <v>0</v>
      </c>
      <c r="W45" s="430">
        <f ca="1">'6W費用試算'!$H$33*V45</f>
        <v>0</v>
      </c>
      <c r="X45" s="429">
        <f ca="1">IF(X$40="",0,VLOOKUP(X$40,【研修日数】,10,FALSE))</f>
        <v>0</v>
      </c>
      <c r="Y45" s="430">
        <f ca="1">'6W費用試算'!$H$33*X45</f>
        <v>0</v>
      </c>
      <c r="Z45" s="429">
        <f ca="1">IF(Z$40="",0,VLOOKUP(Z$40,【研修日数】,10,FALSE))</f>
        <v>0</v>
      </c>
      <c r="AA45" s="430">
        <f ca="1">'6W費用試算'!$H$33*Z45</f>
        <v>0</v>
      </c>
      <c r="AB45" s="429">
        <f ca="1">IF(AB$40="",0,VLOOKUP(AB$40,【研修日数】,10,FALSE))</f>
        <v>0</v>
      </c>
      <c r="AC45" s="430">
        <f ca="1">'6W費用試算'!$H$33*AB45</f>
        <v>0</v>
      </c>
      <c r="AD45" s="429">
        <f ca="1">IF(AD$40="",0,VLOOKUP(AD$40,【研修日数】,10,FALSE))</f>
        <v>0</v>
      </c>
      <c r="AE45" s="431">
        <f ca="1">'6W費用試算'!$H$33*AD45</f>
        <v>0</v>
      </c>
      <c r="AF45" s="426">
        <f ca="1">SUMIF($F$41:$AE45,"金額",$F45:$AE45)</f>
        <v>547200</v>
      </c>
    </row>
    <row r="46" spans="2:32" ht="21.75" customHeight="1" thickBot="1">
      <c r="B46" s="411" t="str">
        <f>"雑費（@"&amp;TEXT('6W費用試算'!$H$34,"#,###")&amp;"×"&amp;'6W計算シート'!$C$6&amp;"日）"</f>
        <v>雑費（@1,000×214日）</v>
      </c>
      <c r="C46" s="374"/>
      <c r="D46" s="412"/>
      <c r="E46" s="432">
        <f>'6W費用試算'!$J$34</f>
        <v>214000</v>
      </c>
      <c r="F46" s="433">
        <f>'6W計算シート'!C9</f>
        <v>43</v>
      </c>
      <c r="G46" s="434">
        <f>'6W費用試算'!$H$34*F46</f>
        <v>43000</v>
      </c>
      <c r="H46" s="435">
        <f>IF(H$40="",0,VLOOKUP(H$40,【研修日数】,10,FALSE))</f>
        <v>4</v>
      </c>
      <c r="I46" s="434">
        <f>'6W費用試算'!$H$34*H46</f>
        <v>4000</v>
      </c>
      <c r="J46" s="435">
        <f>IF(J$40="",0,VLOOKUP(J$40,【研修日数】,10,FALSE))</f>
        <v>31</v>
      </c>
      <c r="K46" s="434">
        <f>'6W費用試算'!$H$34*J46</f>
        <v>31000</v>
      </c>
      <c r="L46" s="435">
        <f ca="1">IF(L$40="",0,VLOOKUP(L$40,【研修日数】,10,FALSE))</f>
        <v>30</v>
      </c>
      <c r="M46" s="434">
        <f ca="1">'6W費用試算'!$H$34*L46</f>
        <v>30000</v>
      </c>
      <c r="N46" s="435">
        <f ca="1">IF(N$40="",0,VLOOKUP(N$40,【研修日数】,10,FALSE))</f>
        <v>31</v>
      </c>
      <c r="O46" s="434">
        <f ca="1">'6W費用試算'!$H$34*N46</f>
        <v>31000</v>
      </c>
      <c r="P46" s="435">
        <f ca="1">IF(P$40="",0,VLOOKUP(P$40,【研修日数】,10,FALSE))</f>
        <v>30</v>
      </c>
      <c r="Q46" s="434">
        <f ca="1">'6W費用試算'!$H$34*P46</f>
        <v>30000</v>
      </c>
      <c r="R46" s="435">
        <f ca="1">IF(R$40="",0,VLOOKUP(R$40,【研修日数】,10,FALSE))</f>
        <v>31</v>
      </c>
      <c r="S46" s="434">
        <f ca="1">'6W費用試算'!$H$34*R46</f>
        <v>31000</v>
      </c>
      <c r="T46" s="435">
        <f ca="1">IF(T$40="",0,VLOOKUP(T$40,【研修日数】,10,FALSE))</f>
        <v>14</v>
      </c>
      <c r="U46" s="434">
        <f ca="1">'6W費用試算'!$H$34*T46</f>
        <v>14000</v>
      </c>
      <c r="V46" s="435">
        <f ca="1">IF(V$40="",0,VLOOKUP(V$40,【研修日数】,10,FALSE))</f>
        <v>0</v>
      </c>
      <c r="W46" s="434">
        <f ca="1">'6W費用試算'!$H$34*V46</f>
        <v>0</v>
      </c>
      <c r="X46" s="435">
        <f ca="1">IF(X$40="",0,VLOOKUP(X$40,【研修日数】,10,FALSE))</f>
        <v>0</v>
      </c>
      <c r="Y46" s="434">
        <f ca="1">'6W費用試算'!$H$34*X46</f>
        <v>0</v>
      </c>
      <c r="Z46" s="435">
        <f ca="1">IF(Z$40="",0,VLOOKUP(Z$40,【研修日数】,10,FALSE))</f>
        <v>0</v>
      </c>
      <c r="AA46" s="434">
        <f ca="1">'6W費用試算'!$H$34*Z46</f>
        <v>0</v>
      </c>
      <c r="AB46" s="435">
        <f ca="1">IF(AB$40="",0,VLOOKUP(AB$40,【研修日数】,10,FALSE))</f>
        <v>0</v>
      </c>
      <c r="AC46" s="434">
        <f ca="1">'6W費用試算'!$H$34*AB46</f>
        <v>0</v>
      </c>
      <c r="AD46" s="435">
        <f ca="1">IF(AD$40="",0,VLOOKUP(AD$40,【研修日数】,10,FALSE))</f>
        <v>0</v>
      </c>
      <c r="AE46" s="436">
        <f ca="1">'6W費用試算'!$H$34*AD46</f>
        <v>0</v>
      </c>
      <c r="AF46" s="432">
        <f ca="1">SUMIF($F$41:$AE46,"金額",$F46:$AE46)</f>
        <v>214000</v>
      </c>
    </row>
    <row r="47" spans="2:32" ht="30" customHeight="1" thickBot="1">
      <c r="B47" s="868" t="s">
        <v>101</v>
      </c>
      <c r="C47" s="869"/>
      <c r="D47" s="870"/>
      <c r="E47" s="437">
        <f>SUM(E42:E46)</f>
        <v>1202700</v>
      </c>
      <c r="F47" s="438"/>
      <c r="G47" s="439">
        <f>SUM(G42:G46)</f>
        <v>44000</v>
      </c>
      <c r="H47" s="438"/>
      <c r="I47" s="439">
        <f ca="1">SUM(I42:I46)</f>
        <v>36800</v>
      </c>
      <c r="J47" s="438"/>
      <c r="K47" s="439">
        <f ca="1">SUM(K42:K46)</f>
        <v>207700</v>
      </c>
      <c r="L47" s="438"/>
      <c r="M47" s="439">
        <f ca="1">SUM(M42:M46)</f>
        <v>201000</v>
      </c>
      <c r="N47" s="438"/>
      <c r="O47" s="439">
        <f ca="1">SUM(O42:O46)</f>
        <v>207700</v>
      </c>
      <c r="P47" s="438"/>
      <c r="Q47" s="439">
        <f ca="1">SUM(Q42:Q46)</f>
        <v>201000</v>
      </c>
      <c r="R47" s="438"/>
      <c r="S47" s="439">
        <f ca="1">SUM(S42:S46)</f>
        <v>207700</v>
      </c>
      <c r="T47" s="438"/>
      <c r="U47" s="439">
        <f ca="1">SUM(U42:U46)</f>
        <v>96800</v>
      </c>
      <c r="V47" s="438"/>
      <c r="W47" s="439">
        <f ca="1">SUM(W42:W46)</f>
        <v>0</v>
      </c>
      <c r="X47" s="438"/>
      <c r="Y47" s="439">
        <f ca="1">SUM(Y42:Y46)</f>
        <v>0</v>
      </c>
      <c r="Z47" s="438"/>
      <c r="AA47" s="439">
        <f ca="1">SUM(AA42:AA46)</f>
        <v>0</v>
      </c>
      <c r="AB47" s="438"/>
      <c r="AC47" s="439">
        <f ca="1">SUM(AC42:AC46)</f>
        <v>0</v>
      </c>
      <c r="AD47" s="438"/>
      <c r="AE47" s="440">
        <f ca="1">SUM(AE42:AE46)</f>
        <v>0</v>
      </c>
      <c r="AF47" s="437">
        <f ca="1">SUM(AF42:AF46)</f>
        <v>1202700</v>
      </c>
    </row>
    <row r="48" spans="2:32" ht="20.100000000000001" customHeight="1">
      <c r="B48" s="1" t="s">
        <v>277</v>
      </c>
      <c r="C48" s="1"/>
      <c r="D48" s="1"/>
      <c r="E48" s="387"/>
      <c r="F48" s="391"/>
      <c r="G48" s="391"/>
      <c r="H48" s="387"/>
      <c r="I48" s="387"/>
      <c r="J48" s="387"/>
      <c r="K48" s="387"/>
      <c r="L48" s="387"/>
      <c r="M48" s="387"/>
      <c r="N48" s="387"/>
      <c r="O48" s="387"/>
      <c r="P48" s="387"/>
      <c r="Q48" s="387"/>
      <c r="R48" s="387"/>
      <c r="S48" s="387"/>
      <c r="T48" s="387"/>
      <c r="U48" s="387"/>
      <c r="V48" s="387"/>
      <c r="W48" s="387"/>
      <c r="X48" s="387"/>
      <c r="Y48" s="387"/>
      <c r="Z48" s="387"/>
      <c r="AA48" s="387"/>
      <c r="AB48" s="387"/>
      <c r="AC48" s="387"/>
      <c r="AD48" s="391"/>
      <c r="AE48" s="391"/>
      <c r="AF48" s="1"/>
    </row>
    <row r="49" spans="5:29" ht="13.5" customHeight="1">
      <c r="E49" s="389"/>
      <c r="H49" s="389"/>
      <c r="I49" s="389"/>
      <c r="J49" s="389"/>
      <c r="K49" s="389"/>
      <c r="L49" s="389"/>
      <c r="M49" s="389"/>
      <c r="N49" s="389"/>
      <c r="O49" s="389"/>
      <c r="P49" s="389"/>
      <c r="Q49" s="389"/>
      <c r="R49" s="389"/>
      <c r="S49" s="389"/>
      <c r="T49" s="389"/>
      <c r="U49" s="389"/>
      <c r="V49" s="389"/>
      <c r="W49" s="389"/>
      <c r="X49" s="389"/>
      <c r="Y49" s="389"/>
      <c r="Z49" s="389"/>
      <c r="AA49" s="389"/>
      <c r="AB49" s="389"/>
      <c r="AC49" s="389"/>
    </row>
    <row r="50" spans="5:29" ht="13.5" customHeight="1">
      <c r="E50" s="389"/>
      <c r="H50" s="389"/>
      <c r="I50" s="389"/>
      <c r="J50" s="389"/>
      <c r="K50" s="389"/>
      <c r="L50" s="389"/>
      <c r="M50" s="389"/>
      <c r="N50" s="389"/>
      <c r="O50" s="389"/>
      <c r="P50" s="389"/>
      <c r="Q50" s="389"/>
      <c r="R50" s="389"/>
      <c r="S50" s="389"/>
      <c r="T50" s="389"/>
      <c r="U50" s="389"/>
      <c r="V50" s="389"/>
      <c r="W50" s="389"/>
      <c r="X50" s="389"/>
      <c r="Y50" s="389"/>
      <c r="Z50" s="389"/>
      <c r="AA50" s="389"/>
      <c r="AB50" s="389"/>
      <c r="AC50" s="389"/>
    </row>
    <row r="51" spans="5:29" ht="13.2">
      <c r="E51" s="389"/>
      <c r="H51" s="389"/>
      <c r="I51" s="389"/>
      <c r="J51" s="389"/>
      <c r="K51" s="389"/>
      <c r="L51" s="389"/>
      <c r="M51" s="389"/>
      <c r="N51" s="389"/>
      <c r="O51" s="389"/>
      <c r="P51" s="389"/>
      <c r="Q51" s="389"/>
      <c r="R51" s="389"/>
      <c r="S51" s="389"/>
      <c r="T51" s="389"/>
      <c r="U51" s="389"/>
      <c r="V51" s="389"/>
      <c r="W51" s="389"/>
      <c r="X51" s="389"/>
      <c r="Y51" s="389"/>
      <c r="Z51" s="389"/>
      <c r="AA51" s="389"/>
      <c r="AB51" s="389"/>
      <c r="AC51" s="389"/>
    </row>
  </sheetData>
  <sheetProtection sheet="1" objects="1" scenarios="1" formatCells="0"/>
  <mergeCells count="83">
    <mergeCell ref="B42:D42"/>
    <mergeCell ref="AD32:AE32"/>
    <mergeCell ref="F39:G39"/>
    <mergeCell ref="J40:K40"/>
    <mergeCell ref="L40:M40"/>
    <mergeCell ref="N40:O40"/>
    <mergeCell ref="P40:Q40"/>
    <mergeCell ref="R40:S40"/>
    <mergeCell ref="T40:U40"/>
    <mergeCell ref="V40:W40"/>
    <mergeCell ref="X40:Y40"/>
    <mergeCell ref="Z40:AA40"/>
    <mergeCell ref="AB40:AC40"/>
    <mergeCell ref="AD40:AE40"/>
    <mergeCell ref="AD30:AE30"/>
    <mergeCell ref="A31:D31"/>
    <mergeCell ref="F31:G31"/>
    <mergeCell ref="H31:I31"/>
    <mergeCell ref="J31:K31"/>
    <mergeCell ref="L31:M31"/>
    <mergeCell ref="N31:O31"/>
    <mergeCell ref="P31:Q31"/>
    <mergeCell ref="R31:S31"/>
    <mergeCell ref="T31:U31"/>
    <mergeCell ref="V31:W31"/>
    <mergeCell ref="X31:Y31"/>
    <mergeCell ref="Z31:AA31"/>
    <mergeCell ref="AB31:AC31"/>
    <mergeCell ref="AD31:AE31"/>
    <mergeCell ref="T30:U30"/>
    <mergeCell ref="V30:W30"/>
    <mergeCell ref="X30:Y30"/>
    <mergeCell ref="Z30:AA30"/>
    <mergeCell ref="AB30:AC30"/>
    <mergeCell ref="J30:K30"/>
    <mergeCell ref="L30:M30"/>
    <mergeCell ref="N30:O30"/>
    <mergeCell ref="P30:Q30"/>
    <mergeCell ref="R30:S30"/>
    <mergeCell ref="A27:A29"/>
    <mergeCell ref="B29:D29"/>
    <mergeCell ref="A30:D30"/>
    <mergeCell ref="F30:G30"/>
    <mergeCell ref="H30:I30"/>
    <mergeCell ref="N6:O6"/>
    <mergeCell ref="C3:D3"/>
    <mergeCell ref="B4:C4"/>
    <mergeCell ref="A20:A26"/>
    <mergeCell ref="B21:B23"/>
    <mergeCell ref="C21:C22"/>
    <mergeCell ref="B26:D26"/>
    <mergeCell ref="B47:D47"/>
    <mergeCell ref="B44:D44"/>
    <mergeCell ref="AB7:AC7"/>
    <mergeCell ref="AB6:AC6"/>
    <mergeCell ref="Z7:AA7"/>
    <mergeCell ref="Z6:AA6"/>
    <mergeCell ref="X7:Y7"/>
    <mergeCell ref="X6:Y6"/>
    <mergeCell ref="P7:Q7"/>
    <mergeCell ref="P6:Q6"/>
    <mergeCell ref="V7:W7"/>
    <mergeCell ref="V6:W6"/>
    <mergeCell ref="T7:U7"/>
    <mergeCell ref="T6:U6"/>
    <mergeCell ref="R7:S7"/>
    <mergeCell ref="R6:S6"/>
    <mergeCell ref="F1:G1"/>
    <mergeCell ref="A12:A19"/>
    <mergeCell ref="B19:D19"/>
    <mergeCell ref="AF6:AF7"/>
    <mergeCell ref="AD7:AE7"/>
    <mergeCell ref="AD6:AE6"/>
    <mergeCell ref="F7:G7"/>
    <mergeCell ref="A11:D11"/>
    <mergeCell ref="N7:O7"/>
    <mergeCell ref="L6:M6"/>
    <mergeCell ref="F6:G6"/>
    <mergeCell ref="J7:K7"/>
    <mergeCell ref="J6:K6"/>
    <mergeCell ref="H7:I7"/>
    <mergeCell ref="H6:I6"/>
    <mergeCell ref="L7:M7"/>
  </mergeCells>
  <phoneticPr fontId="2"/>
  <conditionalFormatting sqref="F31:G31">
    <cfRule type="cellIs" dxfId="27" priority="3" stopIfTrue="1" operator="greaterThan">
      <formula>0</formula>
    </cfRule>
    <cfRule type="expression" dxfId="26" priority="4" stopIfTrue="1">
      <formula>AND($F$31&lt;&gt;"",$H$31="")</formula>
    </cfRule>
  </conditionalFormatting>
  <conditionalFormatting sqref="F8:AE10 F13:AE18 F20:AE25 F27:AE28 F42:AE47">
    <cfRule type="cellIs" dxfId="25" priority="1" stopIfTrue="1" operator="equal">
      <formula>0</formula>
    </cfRule>
  </conditionalFormatting>
  <conditionalFormatting sqref="F19:AE19 F26:AE26 F29:AE29 F30 H30 J30 L30 N30 P30 R30 T30 V30 X30 Z30 AB30 AD30">
    <cfRule type="cellIs" dxfId="24" priority="2" stopIfTrue="1" operator="equal">
      <formula>0</formula>
    </cfRule>
  </conditionalFormatting>
  <conditionalFormatting sqref="H31:I31">
    <cfRule type="expression" dxfId="23" priority="5" stopIfTrue="1">
      <formula>AND($F$31&lt;0,$H$31&gt;0,$H$31&lt;&gt;"")</formula>
    </cfRule>
    <cfRule type="expression" dxfId="22" priority="6" stopIfTrue="1">
      <formula>AND($H$31&lt;&gt;"",$J$31="")</formula>
    </cfRule>
  </conditionalFormatting>
  <conditionalFormatting sqref="J31:K31">
    <cfRule type="expression" dxfId="21" priority="7" stopIfTrue="1">
      <formula>AND($H$31&lt;0,$J$31&gt;0,$J$31&lt;&gt;"")</formula>
    </cfRule>
    <cfRule type="expression" dxfId="20" priority="8" stopIfTrue="1">
      <formula>AND($J$31&lt;&gt;"",$L$31="")</formula>
    </cfRule>
  </conditionalFormatting>
  <conditionalFormatting sqref="L31:M31">
    <cfRule type="expression" dxfId="19" priority="9" stopIfTrue="1">
      <formula>AND($J$31&lt;0,$L$31&gt;0,$L$31&lt;&gt;"")</formula>
    </cfRule>
    <cfRule type="expression" dxfId="18" priority="10" stopIfTrue="1">
      <formula>AND($L$31&lt;&gt;"",$N$31="")</formula>
    </cfRule>
  </conditionalFormatting>
  <conditionalFormatting sqref="N31:O31">
    <cfRule type="expression" dxfId="17" priority="11" stopIfTrue="1">
      <formula>AND($L$31&lt;0,$N$31&gt;0,$N$31&lt;&gt;"")</formula>
    </cfRule>
    <cfRule type="expression" dxfId="16" priority="12" stopIfTrue="1">
      <formula>AND($N$31&lt;&gt;"",$P$31="")</formula>
    </cfRule>
  </conditionalFormatting>
  <conditionalFormatting sqref="P31:Q31">
    <cfRule type="expression" dxfId="15" priority="13" stopIfTrue="1">
      <formula>AND($N$31&lt;0,$P$31&gt;0,$P$31&lt;&gt;"")</formula>
    </cfRule>
    <cfRule type="expression" dxfId="14" priority="14" stopIfTrue="1">
      <formula>AND($P$31&lt;&gt;"",$R$31="")</formula>
    </cfRule>
  </conditionalFormatting>
  <conditionalFormatting sqref="R31:S31">
    <cfRule type="expression" dxfId="13" priority="15" stopIfTrue="1">
      <formula>AND($P$31&lt;0,$R$31&gt;0,$R$31&lt;&gt;"")</formula>
    </cfRule>
    <cfRule type="expression" dxfId="12" priority="16" stopIfTrue="1">
      <formula>AND($R$31&lt;&gt;"",$T$31="")</formula>
    </cfRule>
  </conditionalFormatting>
  <conditionalFormatting sqref="T31:U31">
    <cfRule type="expression" dxfId="11" priority="17" stopIfTrue="1">
      <formula>AND($R$31&lt;0,$T$31&gt;0,$T$31&lt;&gt;"")</formula>
    </cfRule>
    <cfRule type="expression" dxfId="10" priority="18" stopIfTrue="1">
      <formula>AND($T$31&lt;&gt;"",$V$31="")</formula>
    </cfRule>
  </conditionalFormatting>
  <conditionalFormatting sqref="V31:W31">
    <cfRule type="expression" dxfId="9" priority="19" stopIfTrue="1">
      <formula>AND($T$31&lt;0,$V$31&gt;0,$V$31&lt;&gt;"")</formula>
    </cfRule>
    <cfRule type="expression" dxfId="8" priority="20" stopIfTrue="1">
      <formula>AND($V$31&lt;&gt;"",$X$31="")</formula>
    </cfRule>
  </conditionalFormatting>
  <conditionalFormatting sqref="X31:Y31">
    <cfRule type="expression" dxfId="7" priority="21" stopIfTrue="1">
      <formula>AND($V$31&lt;0,$X$31&gt;0,$X$31&lt;&gt;"")</formula>
    </cfRule>
    <cfRule type="expression" dxfId="6" priority="22" stopIfTrue="1">
      <formula>AND($X$31&lt;&gt;"",$Z$31="")</formula>
    </cfRule>
  </conditionalFormatting>
  <conditionalFormatting sqref="Z31:AA31">
    <cfRule type="expression" dxfId="5" priority="23" stopIfTrue="1">
      <formula>AND($X$31&lt;0,$Z$31&gt;0,$Z$31&lt;&gt;"")</formula>
    </cfRule>
    <cfRule type="expression" dxfId="4" priority="24" stopIfTrue="1">
      <formula>AND($Z$31&lt;&gt;"",$AB$31="")</formula>
    </cfRule>
  </conditionalFormatting>
  <conditionalFormatting sqref="AB31:AC31">
    <cfRule type="expression" dxfId="3" priority="25" stopIfTrue="1">
      <formula>AND($Z$31&lt;0,$AB$31&gt;0,$AB$31&lt;&gt;"")</formula>
    </cfRule>
    <cfRule type="expression" dxfId="2" priority="26" stopIfTrue="1">
      <formula>AND($AB$31&lt;&gt;"",$AD$31="")</formula>
    </cfRule>
  </conditionalFormatting>
  <conditionalFormatting sqref="AD31:AE31">
    <cfRule type="expression" dxfId="1" priority="27" stopIfTrue="1">
      <formula>AND($AB$31&lt;0,$AD$31&gt;0,$AD$31&lt;&gt;"")</formula>
    </cfRule>
    <cfRule type="expression" dxfId="0" priority="28" stopIfTrue="1">
      <formula>$AD$30&gt;0</formula>
    </cfRule>
  </conditionalFormatting>
  <dataValidations disablePrompts="1" count="1">
    <dataValidation type="date" imeMode="off" operator="greaterThanOrEqual" allowBlank="1" showErrorMessage="1" sqref="C3 F1" xr:uid="{00000000-0002-0000-0100-000000000000}">
      <formula1>1</formula1>
    </dataValidation>
  </dataValidations>
  <printOptions horizontalCentered="1"/>
  <pageMargins left="0.39370078740157483" right="0.39370078740157483" top="0.9055118110236221" bottom="0.35433070866141736" header="0.51181102362204722" footer="0.15748031496062992"/>
  <pageSetup paperSize="8" scale="75" fitToHeight="0" pageOrder="overThenDown" orientation="landscape" r:id="rId1"/>
  <headerFooter alignWithMargins="0">
    <oddHeader>&amp;R月別受入費等明細（J6W）：2022年度版</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29A2-D3FB-4619-BD9F-32666BA099ED}">
  <sheetPr>
    <tabColor theme="5" tint="0.39997558519241921"/>
  </sheetPr>
  <dimension ref="A1"/>
  <sheetViews>
    <sheetView showGridLines="0" view="pageBreakPreview" zoomScale="85" zoomScaleNormal="100" zoomScaleSheetLayoutView="85" workbookViewId="0">
      <selection activeCell="U75" sqref="U75"/>
    </sheetView>
  </sheetViews>
  <sheetFormatPr defaultRowHeight="13.2"/>
  <cols>
    <col min="1" max="18" width="4.44140625" customWidth="1"/>
  </cols>
  <sheetData/>
  <phoneticPr fontId="2"/>
  <printOptions horizontalCentered="1"/>
  <pageMargins left="0.31496062992125984" right="0.31496062992125984"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278D-C3D4-4E60-8BFC-C75DE40541BE}">
  <sheetPr>
    <tabColor rgb="FFFFFF00"/>
  </sheetPr>
  <dimension ref="A1"/>
  <sheetViews>
    <sheetView showGridLines="0" view="pageBreakPreview" topLeftCell="A55" zoomScale="85" zoomScaleNormal="55" zoomScaleSheetLayoutView="85" workbookViewId="0">
      <selection activeCell="D61" sqref="D61"/>
    </sheetView>
  </sheetViews>
  <sheetFormatPr defaultRowHeight="13.2"/>
  <sheetData/>
  <sheetProtection algorithmName="SHA-512" hashValue="wUxGaSNGFBu6k/gz0rDX6OffqhroGLNfqg1V8SVb8JqCvKgVSsKY+simQrbJn2eq0qnZnrWZ+xfdecna+U1/Fw==" saltValue="0Mg6fResJ7XmFlUgN69/1g==" spinCount="100000" sheet="1" objects="1" scenarios="1"/>
  <phoneticPr fontId="2"/>
  <pageMargins left="0.23622047244094491" right="0.23622047244094491" top="0.74803149606299213" bottom="0.74803149606299213" header="0.31496062992125984" footer="0.31496062992125984"/>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80"/>
  <sheetViews>
    <sheetView showGridLines="0" topLeftCell="A34" zoomScaleNormal="100" workbookViewId="0">
      <selection activeCell="D60" sqref="D60"/>
    </sheetView>
  </sheetViews>
  <sheetFormatPr defaultColWidth="10.6640625" defaultRowHeight="13.5" customHeight="1"/>
  <cols>
    <col min="1" max="1" width="3" style="1" customWidth="1"/>
    <col min="2" max="2" width="13.109375" style="1" customWidth="1"/>
    <col min="3" max="3" width="31.109375" style="1" customWidth="1"/>
    <col min="4" max="4" width="12.109375" style="1" customWidth="1"/>
    <col min="5" max="5" width="13" style="1" customWidth="1"/>
    <col min="6" max="16384" width="10.6640625" style="1"/>
  </cols>
  <sheetData>
    <row r="1" spans="1:22" ht="13.5" customHeight="1">
      <c r="A1" s="2"/>
      <c r="B1" s="1" t="s">
        <v>342</v>
      </c>
    </row>
    <row r="2" spans="1:22" ht="13.5" customHeight="1">
      <c r="B2" s="153" t="s">
        <v>341</v>
      </c>
    </row>
    <row r="3" spans="1:22" ht="13.5" customHeight="1" thickBot="1">
      <c r="B3" s="1" t="s">
        <v>19</v>
      </c>
      <c r="J3" s="1" t="s">
        <v>79</v>
      </c>
      <c r="P3" s="1" t="s">
        <v>343</v>
      </c>
      <c r="R3"/>
    </row>
    <row r="4" spans="1:22" ht="13.5" customHeight="1" thickBot="1">
      <c r="B4" s="132" t="s">
        <v>54</v>
      </c>
      <c r="C4" s="133" t="s">
        <v>55</v>
      </c>
      <c r="D4" s="702" t="s">
        <v>25</v>
      </c>
      <c r="E4" s="703"/>
      <c r="J4" s="136"/>
      <c r="K4" s="137"/>
      <c r="L4" s="133" t="s">
        <v>21</v>
      </c>
      <c r="M4" s="702" t="s">
        <v>25</v>
      </c>
      <c r="N4" s="704"/>
      <c r="P4" s="709" t="s">
        <v>69</v>
      </c>
      <c r="Q4" s="705" t="s">
        <v>70</v>
      </c>
      <c r="R4" s="706"/>
    </row>
    <row r="5" spans="1:22" ht="13.5" customHeight="1" thickTop="1" thickBot="1">
      <c r="B5" s="77" t="s">
        <v>40</v>
      </c>
      <c r="C5" s="78">
        <f>$C$8-1</f>
        <v>46400</v>
      </c>
      <c r="D5" s="79" t="s">
        <v>66</v>
      </c>
      <c r="E5" s="80">
        <f>YEAR(DATE(YEAR(C5),MONTH(C5)-2,0))</f>
        <v>2026</v>
      </c>
      <c r="J5" s="38" t="str">
        <f>MATCH(K5,$M$15:$M$27,0)&amp;"ヶ月目"</f>
        <v>1ヶ月目</v>
      </c>
      <c r="K5" s="81" t="str">
        <f>VLOOKUP(YEAR(C5)&amp;"/"&amp;MONTH(C5),【研修日数】,1,FALSE)</f>
        <v>2027/1</v>
      </c>
      <c r="L5" s="31">
        <f>'6W費用試算'!$M$14</f>
        <v>1000</v>
      </c>
      <c r="M5" s="37" t="s">
        <v>80</v>
      </c>
      <c r="N5" s="39" t="str">
        <f>VLOOKUP(B47,【日程表】,5,FALSE)</f>
        <v>TKC</v>
      </c>
      <c r="P5" s="710"/>
      <c r="Q5" s="262" t="s">
        <v>71</v>
      </c>
      <c r="R5" s="138" t="s">
        <v>76</v>
      </c>
    </row>
    <row r="6" spans="1:22" ht="13.5" customHeight="1" thickTop="1">
      <c r="B6" s="4" t="s">
        <v>4</v>
      </c>
      <c r="C6" s="140">
        <f>'6W費用試算'!$F$12</f>
        <v>214</v>
      </c>
      <c r="D6" s="5"/>
      <c r="E6" s="6"/>
      <c r="J6" s="82" t="str">
        <f>IF(K6="","",MATCH(K6,$M$15:$M$27,0)&amp;"ヶ月目")</f>
        <v>2ヶ月目</v>
      </c>
      <c r="K6" s="81" t="str">
        <f>IF(C10=0,"",VLOOKUP(YEAR(C10)&amp;"/"&amp;MONTH(C10),【研修日数】,1,FALSE))</f>
        <v>2027/2</v>
      </c>
      <c r="L6" s="31">
        <f>'6W費用試算'!$M$15</f>
        <v>10000</v>
      </c>
      <c r="M6" s="83" t="s">
        <v>74</v>
      </c>
      <c r="N6" s="39"/>
      <c r="P6" s="87" t="s">
        <v>72</v>
      </c>
      <c r="Q6" s="88">
        <v>2780</v>
      </c>
      <c r="R6" s="89"/>
    </row>
    <row r="7" spans="1:22" ht="13.5" customHeight="1" thickBot="1">
      <c r="B7" s="63" t="s">
        <v>5</v>
      </c>
      <c r="C7" s="597" t="str">
        <f>VLOOKUP(B47,【日程表】,2,0)</f>
        <v>2027/01/14～2027/02/24(42日・TKC)</v>
      </c>
      <c r="D7" s="67" t="s">
        <v>290</v>
      </c>
      <c r="E7" s="64"/>
      <c r="J7" s="40" t="str">
        <f>MATCH(K7,$M$15:$M$27,0)&amp;"ヶ月目"</f>
        <v>8ヶ月目</v>
      </c>
      <c r="K7" s="28" t="str">
        <f>VLOOKUP(YEAR(C14)&amp;"/"&amp;MONTH(C14),【研修日数】,1,FALSE)</f>
        <v>2027/8</v>
      </c>
      <c r="L7" s="29">
        <f>'6W費用試算'!$M$16</f>
        <v>3000</v>
      </c>
      <c r="M7" s="30" t="s">
        <v>75</v>
      </c>
      <c r="N7" s="41"/>
      <c r="P7" s="34" t="s">
        <v>73</v>
      </c>
      <c r="Q7" s="35"/>
      <c r="R7" s="36">
        <v>880</v>
      </c>
    </row>
    <row r="8" spans="1:22" ht="13.5" customHeight="1" thickBot="1">
      <c r="B8" s="19" t="s">
        <v>28</v>
      </c>
      <c r="C8" s="22">
        <f>VLOOKUP($B$47,【日程表】,3,FALSE)</f>
        <v>46401</v>
      </c>
      <c r="D8" s="24"/>
      <c r="E8" s="25"/>
      <c r="J8" s="707" t="s">
        <v>3</v>
      </c>
      <c r="K8" s="708"/>
      <c r="L8" s="84">
        <f>SUM(L5:L7)</f>
        <v>14000</v>
      </c>
      <c r="M8" s="85"/>
      <c r="N8" s="86"/>
    </row>
    <row r="9" spans="1:22" ht="13.5" customHeight="1">
      <c r="B9" s="73" t="s">
        <v>68</v>
      </c>
      <c r="C9" s="74">
        <f>VLOOKUP(B47,【日程表】,6,FALSE)</f>
        <v>43</v>
      </c>
      <c r="D9" s="75" t="s">
        <v>56</v>
      </c>
      <c r="E9" s="76"/>
    </row>
    <row r="10" spans="1:22" ht="13.5" customHeight="1">
      <c r="B10" s="20" t="s">
        <v>29</v>
      </c>
      <c r="C10" s="23">
        <f>VLOOKUP($B$47,【日程表】,4,FALSE)</f>
        <v>46442</v>
      </c>
      <c r="D10" s="26"/>
      <c r="E10" s="27"/>
    </row>
    <row r="11" spans="1:22" ht="13.5" customHeight="1" thickBot="1">
      <c r="B11" s="149" t="s">
        <v>173</v>
      </c>
      <c r="C11" s="150">
        <f>IF(C9&gt;11,$C$10-13,"")</f>
        <v>46429</v>
      </c>
      <c r="D11" s="150">
        <f>IF(C11="","",$C$11+2)</f>
        <v>46431</v>
      </c>
      <c r="E11" s="151"/>
      <c r="J11" s="1" t="s">
        <v>20</v>
      </c>
      <c r="K11" s="3"/>
      <c r="O11"/>
    </row>
    <row r="12" spans="1:22" ht="13.5" customHeight="1">
      <c r="B12" s="65" t="s">
        <v>26</v>
      </c>
      <c r="C12" s="66">
        <f>IF(C13=0,0,C10+1)</f>
        <v>46443</v>
      </c>
      <c r="D12" s="67"/>
      <c r="E12" s="68"/>
      <c r="J12" s="714"/>
      <c r="K12" s="696" t="s">
        <v>60</v>
      </c>
      <c r="L12" s="696" t="s">
        <v>61</v>
      </c>
      <c r="M12" s="696" t="s">
        <v>64</v>
      </c>
      <c r="N12" s="696" t="s">
        <v>63</v>
      </c>
      <c r="O12" s="711" t="s">
        <v>62</v>
      </c>
      <c r="P12" s="696" t="s">
        <v>37</v>
      </c>
      <c r="Q12" s="696" t="s">
        <v>31</v>
      </c>
      <c r="R12" s="696" t="s">
        <v>57</v>
      </c>
      <c r="S12" s="711" t="s">
        <v>91</v>
      </c>
      <c r="T12" s="696" t="s">
        <v>33</v>
      </c>
      <c r="U12" s="696" t="s">
        <v>35</v>
      </c>
      <c r="V12" s="699" t="s">
        <v>34</v>
      </c>
    </row>
    <row r="13" spans="1:22" ht="13.5" customHeight="1">
      <c r="B13" s="20" t="s">
        <v>68</v>
      </c>
      <c r="C13" s="21">
        <f>$C$6-$C$9</f>
        <v>171</v>
      </c>
      <c r="D13" s="26"/>
      <c r="E13" s="27"/>
      <c r="J13" s="715"/>
      <c r="K13" s="697"/>
      <c r="L13" s="697"/>
      <c r="M13" s="697"/>
      <c r="N13" s="697"/>
      <c r="O13" s="712"/>
      <c r="P13" s="697"/>
      <c r="Q13" s="697"/>
      <c r="R13" s="697"/>
      <c r="S13" s="712"/>
      <c r="T13" s="697"/>
      <c r="U13" s="697"/>
      <c r="V13" s="700"/>
    </row>
    <row r="14" spans="1:22" ht="13.5" customHeight="1" thickBot="1">
      <c r="B14" s="69" t="s">
        <v>65</v>
      </c>
      <c r="C14" s="70">
        <f>C10+C13</f>
        <v>46613</v>
      </c>
      <c r="D14" s="71" t="s">
        <v>66</v>
      </c>
      <c r="E14" s="72">
        <f>YEAR(DATE(YEAR(C14),MONTH(C14)-2,0))</f>
        <v>2027</v>
      </c>
      <c r="J14" s="716"/>
      <c r="K14" s="698"/>
      <c r="L14" s="698"/>
      <c r="M14" s="698"/>
      <c r="N14" s="698"/>
      <c r="O14" s="713"/>
      <c r="P14" s="698"/>
      <c r="Q14" s="698"/>
      <c r="R14" s="698"/>
      <c r="S14" s="713"/>
      <c r="T14" s="698"/>
      <c r="U14" s="698"/>
      <c r="V14" s="701"/>
    </row>
    <row r="15" spans="1:22" ht="13.5" customHeight="1" thickTop="1">
      <c r="J15" s="90" t="s">
        <v>6</v>
      </c>
      <c r="K15" s="91">
        <f>YEAR(C5)</f>
        <v>2027</v>
      </c>
      <c r="L15" s="92">
        <f>MONTH(C5)</f>
        <v>1</v>
      </c>
      <c r="M15" s="93" t="str">
        <f>K15&amp;"/"&amp;L15</f>
        <v>2027/1</v>
      </c>
      <c r="N15" s="92">
        <f t="shared" ref="N15:N27" si="0">VLOOKUP(L15,【月別標準日数】,3,FALSE)</f>
        <v>31</v>
      </c>
      <c r="O15" s="78">
        <f>DATE(K15,L15,N15)</f>
        <v>46418</v>
      </c>
      <c r="P15" s="94" t="str">
        <f>IF(OR(MOD(YEAR(O15),400)=0,AND(MOD(YEAR(O15),4)=0,MOD(YEAR(O15),100)&lt;&gt;0,MONTH(O15)=2)),"○","×")</f>
        <v>×</v>
      </c>
      <c r="Q15" s="95">
        <f t="shared" ref="Q15:Q27" si="1">IF(P15="×",O15,O15+1)</f>
        <v>46418</v>
      </c>
      <c r="R15" s="96">
        <f t="shared" ref="R15:R27" si="2">DAY(Q15)</f>
        <v>31</v>
      </c>
      <c r="S15" s="97">
        <f t="shared" ref="S15:S27" si="3">DATEDIF($C$5,Q15,"D")+1</f>
        <v>19</v>
      </c>
      <c r="T15" s="98">
        <f>IF(S15&gt;=$C$6,$C$6,S15)</f>
        <v>19</v>
      </c>
      <c r="U15" s="98">
        <f>T15</f>
        <v>19</v>
      </c>
      <c r="V15" s="99">
        <f t="shared" ref="V15:V27" si="4">T15-U15</f>
        <v>0</v>
      </c>
    </row>
    <row r="16" spans="1:22" ht="13.5" customHeight="1" thickBot="1">
      <c r="J16" s="8" t="s">
        <v>7</v>
      </c>
      <c r="K16" s="9">
        <f t="shared" ref="K16:K27" si="5">IF(L15=12,K15+1,K15)</f>
        <v>2027</v>
      </c>
      <c r="L16" s="10">
        <f>IF(L15=12,1,L15+1)</f>
        <v>2</v>
      </c>
      <c r="M16" s="11" t="str">
        <f t="shared" ref="M16:M27" si="6">K16&amp;"/"&amp;L16</f>
        <v>2027/2</v>
      </c>
      <c r="N16" s="10">
        <f t="shared" si="0"/>
        <v>28</v>
      </c>
      <c r="O16" s="7">
        <f t="shared" ref="O16:O27" si="7">DATE(K16,L16,N16)</f>
        <v>46446</v>
      </c>
      <c r="P16" s="12" t="str">
        <f t="shared" ref="P16:P27" si="8">IF(OR(MOD(YEAR(O16),400)=0,AND(MOD(YEAR(O16),4)=0,MOD(YEAR(O16),100)&lt;&gt;0,MONTH(O16)=2)),"○","×")</f>
        <v>×</v>
      </c>
      <c r="Q16" s="13">
        <f t="shared" si="1"/>
        <v>46446</v>
      </c>
      <c r="R16" s="14">
        <f t="shared" si="2"/>
        <v>28</v>
      </c>
      <c r="S16" s="15">
        <f t="shared" si="3"/>
        <v>47</v>
      </c>
      <c r="T16" s="16">
        <f>IF(T15=$C$6,0,IF(S16&gt;$C$6,$C$6-S15,R16))</f>
        <v>28</v>
      </c>
      <c r="U16" s="16">
        <f>IF(($C$9-U15)&gt;T16,T16,($C$9-U15))</f>
        <v>24</v>
      </c>
      <c r="V16" s="17">
        <f t="shared" si="4"/>
        <v>4</v>
      </c>
    </row>
    <row r="17" spans="1:22" ht="13.5" customHeight="1">
      <c r="B17" s="134" t="s">
        <v>86</v>
      </c>
      <c r="C17" s="127" t="s">
        <v>83</v>
      </c>
      <c r="D17" s="691">
        <v>800</v>
      </c>
      <c r="H17" s="3"/>
      <c r="I17" s="3"/>
      <c r="J17" s="8" t="s">
        <v>8</v>
      </c>
      <c r="K17" s="9">
        <f t="shared" si="5"/>
        <v>2027</v>
      </c>
      <c r="L17" s="10">
        <f t="shared" ref="L17:L27" si="9">IF(L16=12,1,L16+1)</f>
        <v>3</v>
      </c>
      <c r="M17" s="11" t="str">
        <f t="shared" si="6"/>
        <v>2027/3</v>
      </c>
      <c r="N17" s="10">
        <f t="shared" si="0"/>
        <v>31</v>
      </c>
      <c r="O17" s="7">
        <f t="shared" si="7"/>
        <v>46477</v>
      </c>
      <c r="P17" s="12" t="str">
        <f t="shared" si="8"/>
        <v>×</v>
      </c>
      <c r="Q17" s="13">
        <f t="shared" si="1"/>
        <v>46477</v>
      </c>
      <c r="R17" s="14">
        <f t="shared" si="2"/>
        <v>31</v>
      </c>
      <c r="S17" s="15">
        <f t="shared" si="3"/>
        <v>78</v>
      </c>
      <c r="T17" s="16">
        <f>IF(SUM(T15:T16)=$C$6,0,IF(S17&gt;$C$6,$C$6-S16,R17))</f>
        <v>31</v>
      </c>
      <c r="U17" s="16">
        <f>IF(($C$9-SUM($U$15:U16))&gt;T17,T17,($C$9-SUM($U$15:U16)))</f>
        <v>0</v>
      </c>
      <c r="V17" s="17">
        <f t="shared" si="4"/>
        <v>31</v>
      </c>
    </row>
    <row r="18" spans="1:22" ht="13.5" customHeight="1">
      <c r="A18" s="3"/>
      <c r="B18" s="135"/>
      <c r="C18" s="33" t="s">
        <v>84</v>
      </c>
      <c r="D18" s="523">
        <v>1000</v>
      </c>
      <c r="H18" s="3"/>
      <c r="I18" s="3"/>
      <c r="J18" s="8" t="s">
        <v>9</v>
      </c>
      <c r="K18" s="9">
        <f t="shared" si="5"/>
        <v>2027</v>
      </c>
      <c r="L18" s="10">
        <f t="shared" si="9"/>
        <v>4</v>
      </c>
      <c r="M18" s="11" t="str">
        <f t="shared" si="6"/>
        <v>2027/4</v>
      </c>
      <c r="N18" s="10">
        <f t="shared" si="0"/>
        <v>30</v>
      </c>
      <c r="O18" s="7">
        <f t="shared" si="7"/>
        <v>46507</v>
      </c>
      <c r="P18" s="12" t="str">
        <f t="shared" si="8"/>
        <v>×</v>
      </c>
      <c r="Q18" s="13">
        <f t="shared" si="1"/>
        <v>46507</v>
      </c>
      <c r="R18" s="14">
        <f t="shared" si="2"/>
        <v>30</v>
      </c>
      <c r="S18" s="15">
        <f t="shared" si="3"/>
        <v>108</v>
      </c>
      <c r="T18" s="16">
        <f>IF(SUM(T15:T17)=$C$6,0,IF(S18&gt;$C$6,$C$6-S17,R18))</f>
        <v>30</v>
      </c>
      <c r="U18" s="16">
        <f>IF(($C$9-SUM($U$15:U17))&gt;T18,T18,($C$9-SUM($U$15:U17)))</f>
        <v>0</v>
      </c>
      <c r="V18" s="17">
        <f t="shared" si="4"/>
        <v>30</v>
      </c>
    </row>
    <row r="19" spans="1:22" ht="13.5" customHeight="1">
      <c r="A19" s="3"/>
      <c r="B19" s="135"/>
      <c r="C19" s="131" t="s">
        <v>85</v>
      </c>
      <c r="D19" s="689">
        <v>1400</v>
      </c>
      <c r="H19" s="3"/>
      <c r="I19" s="3"/>
      <c r="J19" s="8" t="s">
        <v>10</v>
      </c>
      <c r="K19" s="9">
        <f t="shared" si="5"/>
        <v>2027</v>
      </c>
      <c r="L19" s="10">
        <f t="shared" si="9"/>
        <v>5</v>
      </c>
      <c r="M19" s="11" t="str">
        <f t="shared" si="6"/>
        <v>2027/5</v>
      </c>
      <c r="N19" s="10">
        <f t="shared" si="0"/>
        <v>31</v>
      </c>
      <c r="O19" s="7">
        <f t="shared" si="7"/>
        <v>46538</v>
      </c>
      <c r="P19" s="12" t="str">
        <f t="shared" si="8"/>
        <v>×</v>
      </c>
      <c r="Q19" s="13">
        <f t="shared" si="1"/>
        <v>46538</v>
      </c>
      <c r="R19" s="14">
        <f t="shared" si="2"/>
        <v>31</v>
      </c>
      <c r="S19" s="15">
        <f t="shared" si="3"/>
        <v>139</v>
      </c>
      <c r="T19" s="16">
        <f>IF(SUM(T15:T18)=$C$6,0,IF(S19&gt;$C$6,$C$6-S18,R19))</f>
        <v>31</v>
      </c>
      <c r="U19" s="16">
        <f>IF(($C$9-SUM($U$15:U18))&gt;T19,T19,($C$9-SUM($U$15:U18)))</f>
        <v>0</v>
      </c>
      <c r="V19" s="17">
        <f t="shared" si="4"/>
        <v>31</v>
      </c>
    </row>
    <row r="20" spans="1:22" ht="13.5" customHeight="1" thickBot="1">
      <c r="A20" s="3"/>
      <c r="B20" s="596" t="s">
        <v>1</v>
      </c>
      <c r="C20" s="69" t="s">
        <v>1</v>
      </c>
      <c r="D20" s="692">
        <v>1000</v>
      </c>
      <c r="H20" s="3"/>
      <c r="I20" s="3"/>
      <c r="J20" s="8" t="s">
        <v>11</v>
      </c>
      <c r="K20" s="9">
        <f t="shared" si="5"/>
        <v>2027</v>
      </c>
      <c r="L20" s="10">
        <f t="shared" si="9"/>
        <v>6</v>
      </c>
      <c r="M20" s="11" t="str">
        <f t="shared" si="6"/>
        <v>2027/6</v>
      </c>
      <c r="N20" s="10">
        <f t="shared" si="0"/>
        <v>30</v>
      </c>
      <c r="O20" s="7">
        <f t="shared" si="7"/>
        <v>46568</v>
      </c>
      <c r="P20" s="12" t="str">
        <f t="shared" si="8"/>
        <v>×</v>
      </c>
      <c r="Q20" s="13">
        <f t="shared" si="1"/>
        <v>46568</v>
      </c>
      <c r="R20" s="14">
        <f t="shared" si="2"/>
        <v>30</v>
      </c>
      <c r="S20" s="15">
        <f t="shared" si="3"/>
        <v>169</v>
      </c>
      <c r="T20" s="16">
        <f>IF(SUM(T15:T19)=$C$6,0,IF(S20&gt;$C$6,$C$6-S19,R20))</f>
        <v>30</v>
      </c>
      <c r="U20" s="16">
        <f>IF(($C$9-SUM($U$15:U19))&gt;T20,T20,($C$9-SUM($U$15:U19)))</f>
        <v>0</v>
      </c>
      <c r="V20" s="17">
        <f t="shared" si="4"/>
        <v>30</v>
      </c>
    </row>
    <row r="21" spans="1:22" ht="13.5" customHeight="1">
      <c r="A21" s="3"/>
      <c r="H21" s="3"/>
      <c r="I21" s="3"/>
      <c r="J21" s="8" t="s">
        <v>12</v>
      </c>
      <c r="K21" s="9">
        <f t="shared" si="5"/>
        <v>2027</v>
      </c>
      <c r="L21" s="10">
        <f t="shared" si="9"/>
        <v>7</v>
      </c>
      <c r="M21" s="11" t="str">
        <f t="shared" si="6"/>
        <v>2027/7</v>
      </c>
      <c r="N21" s="10">
        <f t="shared" si="0"/>
        <v>31</v>
      </c>
      <c r="O21" s="7">
        <f t="shared" si="7"/>
        <v>46599</v>
      </c>
      <c r="P21" s="12" t="str">
        <f t="shared" si="8"/>
        <v>×</v>
      </c>
      <c r="Q21" s="13">
        <f t="shared" si="1"/>
        <v>46599</v>
      </c>
      <c r="R21" s="14">
        <f t="shared" si="2"/>
        <v>31</v>
      </c>
      <c r="S21" s="15">
        <f t="shared" si="3"/>
        <v>200</v>
      </c>
      <c r="T21" s="16">
        <f>IF(SUM(T15:T20)=$C$6,0,IF(S21&gt;$C$6,$C$6-S20,R21))</f>
        <v>31</v>
      </c>
      <c r="U21" s="16">
        <f>IF(($C$9-SUM($U$15:U20))&gt;T21,T21,($C$9-SUM($U$15:U20)))</f>
        <v>0</v>
      </c>
      <c r="V21" s="17">
        <f t="shared" si="4"/>
        <v>31</v>
      </c>
    </row>
    <row r="22" spans="1:22" ht="13.5" customHeight="1">
      <c r="A22" s="3"/>
      <c r="E22" s="3"/>
      <c r="H22" s="3"/>
      <c r="I22" s="3"/>
      <c r="J22" s="8" t="s">
        <v>13</v>
      </c>
      <c r="K22" s="9">
        <f t="shared" si="5"/>
        <v>2027</v>
      </c>
      <c r="L22" s="10">
        <f t="shared" si="9"/>
        <v>8</v>
      </c>
      <c r="M22" s="11" t="str">
        <f t="shared" si="6"/>
        <v>2027/8</v>
      </c>
      <c r="N22" s="10">
        <f t="shared" si="0"/>
        <v>31</v>
      </c>
      <c r="O22" s="7">
        <f t="shared" si="7"/>
        <v>46630</v>
      </c>
      <c r="P22" s="12" t="str">
        <f t="shared" si="8"/>
        <v>×</v>
      </c>
      <c r="Q22" s="13">
        <f t="shared" si="1"/>
        <v>46630</v>
      </c>
      <c r="R22" s="14">
        <f t="shared" si="2"/>
        <v>31</v>
      </c>
      <c r="S22" s="15">
        <f t="shared" si="3"/>
        <v>231</v>
      </c>
      <c r="T22" s="16">
        <f>IF(SUM(T15:T21)=$C$6,0,IF(S22&gt;$C$6,$C$6-S21,R22))</f>
        <v>14</v>
      </c>
      <c r="U22" s="16">
        <f>IF(($C$9-SUM($U$15:U21))&gt;T22,T22,($C$9-SUM($U$15:U21)))</f>
        <v>0</v>
      </c>
      <c r="V22" s="17">
        <f t="shared" si="4"/>
        <v>14</v>
      </c>
    </row>
    <row r="23" spans="1:22" ht="13.5" customHeight="1">
      <c r="A23" s="3"/>
      <c r="B23" s="1" t="s">
        <v>81</v>
      </c>
      <c r="E23" s="3"/>
      <c r="F23" s="3"/>
      <c r="G23" s="3"/>
      <c r="H23" s="3"/>
      <c r="I23" s="3"/>
      <c r="J23" s="8" t="s">
        <v>14</v>
      </c>
      <c r="K23" s="9">
        <f t="shared" si="5"/>
        <v>2027</v>
      </c>
      <c r="L23" s="10">
        <f t="shared" si="9"/>
        <v>9</v>
      </c>
      <c r="M23" s="11" t="str">
        <f t="shared" si="6"/>
        <v>2027/9</v>
      </c>
      <c r="N23" s="10">
        <f t="shared" si="0"/>
        <v>30</v>
      </c>
      <c r="O23" s="7">
        <f t="shared" si="7"/>
        <v>46660</v>
      </c>
      <c r="P23" s="12" t="str">
        <f t="shared" si="8"/>
        <v>×</v>
      </c>
      <c r="Q23" s="13">
        <f t="shared" si="1"/>
        <v>46660</v>
      </c>
      <c r="R23" s="14">
        <f t="shared" si="2"/>
        <v>30</v>
      </c>
      <c r="S23" s="15">
        <f t="shared" si="3"/>
        <v>261</v>
      </c>
      <c r="T23" s="16">
        <f>IF(SUM(T15:T22)=$C$6,0,IF(S23&gt;$C$6,$C$6-S22,R23))</f>
        <v>0</v>
      </c>
      <c r="U23" s="16">
        <f>IF(($C$9-SUM($U$15:U22))&gt;T23,T23,($C$9-SUM($U$15:U22)))</f>
        <v>0</v>
      </c>
      <c r="V23" s="17">
        <f t="shared" si="4"/>
        <v>0</v>
      </c>
    </row>
    <row r="24" spans="1:22" ht="13.5" customHeight="1" thickBot="1">
      <c r="A24" s="3"/>
      <c r="B24" s="32">
        <f>INDEX($B$26:$C$28,MATCH('6W費用試算'!L9,'6W計算シート'!C26:C28,0),1)</f>
        <v>3</v>
      </c>
      <c r="H24" s="3"/>
      <c r="I24" s="3"/>
      <c r="J24" s="8" t="s">
        <v>15</v>
      </c>
      <c r="K24" s="9">
        <f t="shared" si="5"/>
        <v>2027</v>
      </c>
      <c r="L24" s="10">
        <f t="shared" si="9"/>
        <v>10</v>
      </c>
      <c r="M24" s="11" t="str">
        <f t="shared" si="6"/>
        <v>2027/10</v>
      </c>
      <c r="N24" s="10">
        <f t="shared" si="0"/>
        <v>31</v>
      </c>
      <c r="O24" s="7">
        <f t="shared" si="7"/>
        <v>46691</v>
      </c>
      <c r="P24" s="12" t="str">
        <f t="shared" si="8"/>
        <v>×</v>
      </c>
      <c r="Q24" s="13">
        <f t="shared" si="1"/>
        <v>46691</v>
      </c>
      <c r="R24" s="14">
        <f t="shared" si="2"/>
        <v>31</v>
      </c>
      <c r="S24" s="15">
        <f t="shared" si="3"/>
        <v>292</v>
      </c>
      <c r="T24" s="16">
        <f>IF(SUM(T15:T23)=$C$6,0,IF(S24&gt;$C$6,$C$6-S23,R24))</f>
        <v>0</v>
      </c>
      <c r="U24" s="16">
        <f>IF(($C$9-SUM($U$15:U23))&gt;T24,T24,($C$9-SUM($U$15:U23)))</f>
        <v>0</v>
      </c>
      <c r="V24" s="17">
        <f t="shared" si="4"/>
        <v>0</v>
      </c>
    </row>
    <row r="25" spans="1:22" ht="13.5" customHeight="1" thickBot="1">
      <c r="A25" s="3"/>
      <c r="B25" s="136" t="s">
        <v>27</v>
      </c>
      <c r="C25" s="132" t="s">
        <v>38</v>
      </c>
      <c r="D25" s="263" t="s">
        <v>87</v>
      </c>
      <c r="H25" s="3"/>
      <c r="I25" s="3"/>
      <c r="J25" s="8" t="s">
        <v>16</v>
      </c>
      <c r="K25" s="9">
        <f t="shared" si="5"/>
        <v>2027</v>
      </c>
      <c r="L25" s="10">
        <f t="shared" si="9"/>
        <v>11</v>
      </c>
      <c r="M25" s="11" t="str">
        <f t="shared" si="6"/>
        <v>2027/11</v>
      </c>
      <c r="N25" s="10">
        <f t="shared" si="0"/>
        <v>30</v>
      </c>
      <c r="O25" s="7">
        <f t="shared" si="7"/>
        <v>46721</v>
      </c>
      <c r="P25" s="12" t="str">
        <f t="shared" si="8"/>
        <v>×</v>
      </c>
      <c r="Q25" s="13">
        <f t="shared" si="1"/>
        <v>46721</v>
      </c>
      <c r="R25" s="14">
        <f t="shared" si="2"/>
        <v>30</v>
      </c>
      <c r="S25" s="15">
        <f t="shared" si="3"/>
        <v>322</v>
      </c>
      <c r="T25" s="16">
        <f>IF(SUM(T15:T24)=$C$6,0,IF(S25&gt;$C$6,$C$6-S24,R25))</f>
        <v>0</v>
      </c>
      <c r="U25" s="16">
        <f>IF(($C$9-SUM($U$15:U24))&gt;T25,T25,($C$9-SUM($U$15:U24)))</f>
        <v>0</v>
      </c>
      <c r="V25" s="17">
        <f t="shared" si="4"/>
        <v>0</v>
      </c>
    </row>
    <row r="26" spans="1:22" ht="13.5" customHeight="1" thickTop="1">
      <c r="A26" s="3"/>
      <c r="B26" s="128">
        <v>1</v>
      </c>
      <c r="C26" s="33" t="s">
        <v>70</v>
      </c>
      <c r="D26" s="690">
        <v>9000</v>
      </c>
      <c r="H26" s="3"/>
      <c r="I26" s="3"/>
      <c r="J26" s="8" t="s">
        <v>17</v>
      </c>
      <c r="K26" s="9">
        <f t="shared" si="5"/>
        <v>2027</v>
      </c>
      <c r="L26" s="10">
        <f t="shared" si="9"/>
        <v>12</v>
      </c>
      <c r="M26" s="11" t="str">
        <f t="shared" si="6"/>
        <v>2027/12</v>
      </c>
      <c r="N26" s="10">
        <f t="shared" si="0"/>
        <v>31</v>
      </c>
      <c r="O26" s="7">
        <f t="shared" si="7"/>
        <v>46752</v>
      </c>
      <c r="P26" s="12" t="str">
        <f t="shared" si="8"/>
        <v>×</v>
      </c>
      <c r="Q26" s="13">
        <f t="shared" si="1"/>
        <v>46752</v>
      </c>
      <c r="R26" s="14">
        <f t="shared" si="2"/>
        <v>31</v>
      </c>
      <c r="S26" s="15">
        <f t="shared" si="3"/>
        <v>353</v>
      </c>
      <c r="T26" s="16">
        <f>IF(SUM(T15:T25)=$C$6,0,IF(S26&gt;=$C$6,$C$6-S25,R26))</f>
        <v>0</v>
      </c>
      <c r="U26" s="16">
        <f>IF(($C$9-SUM($U$15:U25))&gt;T26,T26,($C$9-SUM($U$15:U25)))</f>
        <v>0</v>
      </c>
      <c r="V26" s="17">
        <f t="shared" si="4"/>
        <v>0</v>
      </c>
    </row>
    <row r="27" spans="1:22" ht="13.5" customHeight="1" thickBot="1">
      <c r="A27" s="3"/>
      <c r="B27" s="128">
        <v>2</v>
      </c>
      <c r="C27" s="33" t="s">
        <v>23</v>
      </c>
      <c r="D27" s="523">
        <v>1570</v>
      </c>
      <c r="H27" s="3"/>
      <c r="I27" s="3"/>
      <c r="J27" s="100" t="s">
        <v>18</v>
      </c>
      <c r="K27" s="101">
        <f t="shared" si="5"/>
        <v>2028</v>
      </c>
      <c r="L27" s="102">
        <f t="shared" si="9"/>
        <v>1</v>
      </c>
      <c r="M27" s="103" t="str">
        <f t="shared" si="6"/>
        <v>2028/1</v>
      </c>
      <c r="N27" s="102">
        <f t="shared" si="0"/>
        <v>31</v>
      </c>
      <c r="O27" s="70">
        <f t="shared" si="7"/>
        <v>46783</v>
      </c>
      <c r="P27" s="104" t="str">
        <f t="shared" si="8"/>
        <v>×</v>
      </c>
      <c r="Q27" s="105">
        <f t="shared" si="1"/>
        <v>46783</v>
      </c>
      <c r="R27" s="106">
        <f t="shared" si="2"/>
        <v>31</v>
      </c>
      <c r="S27" s="107">
        <f t="shared" si="3"/>
        <v>384</v>
      </c>
      <c r="T27" s="108">
        <f>IF(SUM(T15:T26)=$C$6,0,IF(S27&gt;$C$6,$C$6-S26,R27))</f>
        <v>0</v>
      </c>
      <c r="U27" s="108">
        <f>IF(($C$9-SUM($U$15:U26))&gt;T27,T27,($C$9-SUM($U$15:U26)))</f>
        <v>0</v>
      </c>
      <c r="V27" s="109">
        <f t="shared" si="4"/>
        <v>0</v>
      </c>
    </row>
    <row r="28" spans="1:22" ht="13.5" customHeight="1" thickBot="1">
      <c r="A28" s="3"/>
      <c r="B28" s="129">
        <v>3</v>
      </c>
      <c r="C28" s="131" t="s">
        <v>24</v>
      </c>
      <c r="D28" s="693">
        <v>6280</v>
      </c>
      <c r="H28" s="3"/>
      <c r="I28" s="3"/>
      <c r="S28" s="18" t="s">
        <v>3</v>
      </c>
      <c r="T28" s="141">
        <f>SUM(T15:T27)</f>
        <v>214</v>
      </c>
      <c r="U28" s="141">
        <f>SUM(U15:U27)</f>
        <v>43</v>
      </c>
      <c r="V28" s="142">
        <f>SUM(V15:V27)</f>
        <v>171</v>
      </c>
    </row>
    <row r="29" spans="1:22" ht="13.5" customHeight="1" thickBot="1">
      <c r="A29" s="3"/>
      <c r="B29" s="130"/>
      <c r="C29" s="69" t="s">
        <v>90</v>
      </c>
      <c r="D29" s="687">
        <v>14500</v>
      </c>
      <c r="H29" s="3"/>
      <c r="I29" s="3"/>
    </row>
    <row r="30" spans="1:22" ht="13.5" customHeight="1" thickBot="1">
      <c r="A30" s="3"/>
      <c r="H30" s="3"/>
      <c r="I30" s="3"/>
      <c r="J30" s="1" t="s">
        <v>59</v>
      </c>
      <c r="N30" s="1" t="s">
        <v>171</v>
      </c>
      <c r="R30" s="265" t="s">
        <v>255</v>
      </c>
    </row>
    <row r="31" spans="1:22" ht="13.5" customHeight="1" thickBot="1">
      <c r="A31" s="3"/>
      <c r="H31" s="3"/>
      <c r="I31" s="3"/>
      <c r="J31" s="132" t="s">
        <v>27</v>
      </c>
      <c r="K31" s="133" t="s">
        <v>53</v>
      </c>
      <c r="L31" s="139" t="s">
        <v>58</v>
      </c>
      <c r="N31" s="144" t="s">
        <v>172</v>
      </c>
      <c r="O31" s="145" t="s">
        <v>172</v>
      </c>
      <c r="P31" s="146" t="s">
        <v>170</v>
      </c>
      <c r="S31" s="32" t="s">
        <v>271</v>
      </c>
      <c r="T31" s="32" t="s">
        <v>272</v>
      </c>
    </row>
    <row r="32" spans="1:22" ht="13.5" customHeight="1" thickTop="1" thickBot="1">
      <c r="A32" s="3"/>
      <c r="B32" s="1" t="s">
        <v>88</v>
      </c>
      <c r="H32" s="3"/>
      <c r="I32" s="3"/>
      <c r="J32" s="77">
        <v>1</v>
      </c>
      <c r="K32" s="114" t="s">
        <v>41</v>
      </c>
      <c r="L32" s="115">
        <v>31</v>
      </c>
      <c r="N32" s="90">
        <f>IF(C11="","",MONTH($C$11))</f>
        <v>2</v>
      </c>
      <c r="O32" s="147" t="str">
        <f>IF(N32="","",MATCH(N32,$L$15:$L$27,0)&amp;"ヶ月目")</f>
        <v>2ヶ月目</v>
      </c>
      <c r="P32" s="115">
        <f>IF(N32="","",IF(N33="",2,1))</f>
        <v>2</v>
      </c>
      <c r="R32" s="265" t="s">
        <v>270</v>
      </c>
      <c r="S32" s="32">
        <f>DATEDIF($C$5-1,$C$14,"M")</f>
        <v>7</v>
      </c>
      <c r="T32" s="32">
        <f>DATEDIF($C$5-1,$C$14,"MD")</f>
        <v>2</v>
      </c>
    </row>
    <row r="33" spans="1:20" ht="13.5" customHeight="1" thickBot="1">
      <c r="A33" s="3"/>
      <c r="B33" s="32">
        <f>INDEX($B$36:$C$42,MATCH('6W費用試算'!F7,'6W計算シート'!C36:C42,0),1)</f>
        <v>1</v>
      </c>
      <c r="C33" s="3"/>
      <c r="D33" s="3"/>
      <c r="E33" s="3"/>
      <c r="F33" s="3"/>
      <c r="G33" s="3"/>
      <c r="H33" s="3"/>
      <c r="I33" s="3"/>
      <c r="J33" s="33">
        <v>2</v>
      </c>
      <c r="K33" s="116" t="s">
        <v>42</v>
      </c>
      <c r="L33" s="117">
        <v>28</v>
      </c>
      <c r="N33" s="100" t="str">
        <f>IF(N32="","",IF(MONTH($C$11)=MONTH($D$11),"",MONTH($D$11)))</f>
        <v/>
      </c>
      <c r="O33" s="148" t="str">
        <f>IF(N33="","",MATCH(N33,$L$15:$L$27,0)&amp;"ヶ月目")</f>
        <v/>
      </c>
      <c r="P33" s="119" t="str">
        <f>IF(N33="","",1)</f>
        <v/>
      </c>
      <c r="R33" s="556" t="s">
        <v>269</v>
      </c>
      <c r="S33" s="558" t="s">
        <v>256</v>
      </c>
      <c r="T33" s="557" t="s">
        <v>268</v>
      </c>
    </row>
    <row r="34" spans="1:20" ht="13.5" customHeight="1">
      <c r="A34" s="3"/>
      <c r="B34" s="709" t="s">
        <v>27</v>
      </c>
      <c r="C34" s="709" t="s">
        <v>89</v>
      </c>
      <c r="D34" s="724" t="s">
        <v>77</v>
      </c>
      <c r="E34" s="726" t="s">
        <v>78</v>
      </c>
      <c r="F34" s="709" t="s">
        <v>2</v>
      </c>
      <c r="G34" s="590" t="s">
        <v>288</v>
      </c>
      <c r="H34" s="590"/>
      <c r="I34" s="3"/>
      <c r="J34" s="33">
        <v>3</v>
      </c>
      <c r="K34" s="116" t="s">
        <v>43</v>
      </c>
      <c r="L34" s="117">
        <v>31</v>
      </c>
      <c r="R34" s="563" t="str">
        <f>IF($C$6=S34,"該当","")</f>
        <v/>
      </c>
      <c r="S34" s="559">
        <v>1</v>
      </c>
      <c r="T34" s="694">
        <v>470</v>
      </c>
    </row>
    <row r="35" spans="1:20" ht="13.5" customHeight="1" thickBot="1">
      <c r="A35" s="3"/>
      <c r="B35" s="710"/>
      <c r="C35" s="710"/>
      <c r="D35" s="725"/>
      <c r="E35" s="727"/>
      <c r="F35" s="710"/>
      <c r="G35" s="591" t="s">
        <v>289</v>
      </c>
      <c r="H35" s="591"/>
      <c r="I35" s="3"/>
      <c r="J35" s="33">
        <v>4</v>
      </c>
      <c r="K35" s="116" t="s">
        <v>44</v>
      </c>
      <c r="L35" s="117">
        <v>30</v>
      </c>
      <c r="R35" s="563" t="str">
        <f>IF(AND($C$6&gt;S34,$C$6&lt;=S35),"該当","")</f>
        <v/>
      </c>
      <c r="S35" s="559">
        <v>2</v>
      </c>
      <c r="T35" s="694">
        <v>520</v>
      </c>
    </row>
    <row r="36" spans="1:20" ht="13.5" customHeight="1" thickTop="1">
      <c r="A36" s="3"/>
      <c r="B36" s="4">
        <v>1</v>
      </c>
      <c r="C36" s="671" t="s">
        <v>346</v>
      </c>
      <c r="D36" s="110">
        <v>0.5</v>
      </c>
      <c r="E36" s="111">
        <f t="shared" ref="E36:E38" si="10">1-D36</f>
        <v>0.5</v>
      </c>
      <c r="F36" s="124">
        <v>3360</v>
      </c>
      <c r="G36" s="670">
        <v>420000</v>
      </c>
      <c r="H36" s="594"/>
      <c r="I36" s="3"/>
      <c r="J36" s="33">
        <v>5</v>
      </c>
      <c r="K36" s="116" t="s">
        <v>45</v>
      </c>
      <c r="L36" s="117">
        <v>31</v>
      </c>
      <c r="R36" s="563" t="str">
        <f t="shared" ref="R36:R60" si="11">IF(AND($C$6&gt;S35,$C$6&lt;=S36),"該当","")</f>
        <v/>
      </c>
      <c r="S36" s="559">
        <v>3</v>
      </c>
      <c r="T36" s="694">
        <v>630</v>
      </c>
    </row>
    <row r="37" spans="1:20" ht="13.5" customHeight="1">
      <c r="A37" s="3"/>
      <c r="B37" s="33">
        <v>2</v>
      </c>
      <c r="C37" s="672" t="s">
        <v>347</v>
      </c>
      <c r="D37" s="120">
        <v>0.33333333333333331</v>
      </c>
      <c r="E37" s="121">
        <f t="shared" si="10"/>
        <v>0.66666666666666674</v>
      </c>
      <c r="F37" s="125">
        <v>3360</v>
      </c>
      <c r="G37" s="599">
        <v>474000</v>
      </c>
      <c r="H37" s="122"/>
      <c r="I37" s="3"/>
      <c r="J37" s="33">
        <v>6</v>
      </c>
      <c r="K37" s="116" t="s">
        <v>46</v>
      </c>
      <c r="L37" s="117">
        <v>30</v>
      </c>
      <c r="R37" s="563" t="str">
        <f t="shared" si="11"/>
        <v/>
      </c>
      <c r="S37" s="559">
        <v>4</v>
      </c>
      <c r="T37" s="694">
        <v>730</v>
      </c>
    </row>
    <row r="38" spans="1:20" ht="13.5" customHeight="1">
      <c r="A38" s="3"/>
      <c r="B38" s="33">
        <v>3</v>
      </c>
      <c r="C38" s="673" t="s">
        <v>348</v>
      </c>
      <c r="D38" s="120">
        <v>0.66666666666666663</v>
      </c>
      <c r="E38" s="121">
        <f t="shared" si="10"/>
        <v>0.33333333333333337</v>
      </c>
      <c r="F38" s="125">
        <v>5190</v>
      </c>
      <c r="G38" s="599">
        <v>359000</v>
      </c>
      <c r="H38" s="122"/>
      <c r="I38" s="3"/>
      <c r="J38" s="33">
        <v>7</v>
      </c>
      <c r="K38" s="116" t="s">
        <v>47</v>
      </c>
      <c r="L38" s="117">
        <v>31</v>
      </c>
      <c r="R38" s="563" t="str">
        <f t="shared" si="11"/>
        <v/>
      </c>
      <c r="S38" s="559">
        <v>5</v>
      </c>
      <c r="T38" s="694">
        <v>760</v>
      </c>
    </row>
    <row r="39" spans="1:20" ht="13.5" customHeight="1">
      <c r="A39" s="3"/>
      <c r="B39" s="33">
        <v>4</v>
      </c>
      <c r="C39" s="671" t="s">
        <v>349</v>
      </c>
      <c r="D39" s="120">
        <v>0.66666666666666663</v>
      </c>
      <c r="E39" s="121">
        <f t="shared" ref="E39:E40" si="12">1-D39</f>
        <v>0.33333333333333337</v>
      </c>
      <c r="F39" s="125">
        <v>3360</v>
      </c>
      <c r="G39" s="599">
        <v>359000</v>
      </c>
      <c r="H39" s="122"/>
      <c r="I39" s="3"/>
      <c r="J39" s="33">
        <v>8</v>
      </c>
      <c r="K39" s="116" t="s">
        <v>48</v>
      </c>
      <c r="L39" s="117">
        <v>31</v>
      </c>
      <c r="R39" s="563" t="str">
        <f t="shared" si="11"/>
        <v/>
      </c>
      <c r="S39" s="559">
        <v>6</v>
      </c>
      <c r="T39" s="694">
        <v>790</v>
      </c>
    </row>
    <row r="40" spans="1:20" ht="13.5" customHeight="1">
      <c r="A40" s="3"/>
      <c r="B40" s="33">
        <v>5</v>
      </c>
      <c r="C40" s="673" t="s">
        <v>350</v>
      </c>
      <c r="D40" s="675">
        <v>1</v>
      </c>
      <c r="E40" s="676">
        <f t="shared" si="12"/>
        <v>0</v>
      </c>
      <c r="F40" s="125">
        <v>5190</v>
      </c>
      <c r="G40" s="599">
        <v>219000</v>
      </c>
      <c r="H40" s="122"/>
      <c r="I40" s="3"/>
      <c r="J40" s="33">
        <v>9</v>
      </c>
      <c r="K40" s="116" t="s">
        <v>49</v>
      </c>
      <c r="L40" s="117">
        <v>30</v>
      </c>
      <c r="R40" s="563" t="str">
        <f t="shared" si="11"/>
        <v/>
      </c>
      <c r="S40" s="559">
        <v>7</v>
      </c>
      <c r="T40" s="694">
        <v>800</v>
      </c>
    </row>
    <row r="41" spans="1:20" ht="13.5" customHeight="1">
      <c r="A41" s="3"/>
      <c r="B41" s="122">
        <v>6</v>
      </c>
      <c r="C41" s="686" t="s">
        <v>351</v>
      </c>
      <c r="D41" s="120">
        <v>0.33333333333333331</v>
      </c>
      <c r="E41" s="121">
        <f t="shared" ref="E41:E43" si="13">1-D41</f>
        <v>0.66666666666666674</v>
      </c>
      <c r="F41" s="125">
        <v>5190</v>
      </c>
      <c r="G41" s="599">
        <v>474000</v>
      </c>
      <c r="H41" s="122"/>
      <c r="I41" s="3"/>
      <c r="J41" s="33">
        <v>10</v>
      </c>
      <c r="K41" s="116" t="s">
        <v>50</v>
      </c>
      <c r="L41" s="117">
        <v>31</v>
      </c>
      <c r="R41" s="563" t="str">
        <f t="shared" si="11"/>
        <v/>
      </c>
      <c r="S41" s="559">
        <v>8</v>
      </c>
      <c r="T41" s="694">
        <v>810</v>
      </c>
    </row>
    <row r="42" spans="1:20" ht="13.5" customHeight="1">
      <c r="A42" s="3"/>
      <c r="B42" s="122">
        <v>7</v>
      </c>
      <c r="C42" s="686" t="s">
        <v>352</v>
      </c>
      <c r="D42" s="110">
        <v>0.5</v>
      </c>
      <c r="E42" s="111">
        <f t="shared" si="13"/>
        <v>0.5</v>
      </c>
      <c r="F42" s="125">
        <v>5190</v>
      </c>
      <c r="G42" s="670">
        <v>420000</v>
      </c>
      <c r="H42" s="122"/>
      <c r="I42" s="3"/>
      <c r="J42" s="33">
        <v>11</v>
      </c>
      <c r="K42" s="116" t="s">
        <v>51</v>
      </c>
      <c r="L42" s="117">
        <v>30</v>
      </c>
      <c r="R42" s="563" t="str">
        <f t="shared" si="11"/>
        <v/>
      </c>
      <c r="S42" s="559">
        <v>9</v>
      </c>
      <c r="T42" s="694">
        <v>900</v>
      </c>
    </row>
    <row r="43" spans="1:20" ht="13.5" customHeight="1" thickBot="1">
      <c r="A43" s="3"/>
      <c r="B43" s="122">
        <v>8</v>
      </c>
      <c r="C43" s="674" t="s">
        <v>353</v>
      </c>
      <c r="D43" s="112">
        <v>0.75</v>
      </c>
      <c r="E43" s="113">
        <f t="shared" si="13"/>
        <v>0.25</v>
      </c>
      <c r="F43" s="126">
        <v>5190</v>
      </c>
      <c r="G43" s="524">
        <v>343000</v>
      </c>
      <c r="H43" s="123"/>
      <c r="I43" s="3"/>
      <c r="J43" s="69">
        <v>12</v>
      </c>
      <c r="K43" s="118" t="s">
        <v>52</v>
      </c>
      <c r="L43" s="119">
        <v>31</v>
      </c>
      <c r="R43" s="563" t="str">
        <f t="shared" si="11"/>
        <v/>
      </c>
      <c r="S43" s="559">
        <v>10</v>
      </c>
      <c r="T43" s="694">
        <v>1000</v>
      </c>
    </row>
    <row r="44" spans="1:20" ht="13.5" customHeight="1">
      <c r="A44" s="3"/>
      <c r="I44" s="3"/>
      <c r="R44" s="563" t="str">
        <f t="shared" si="11"/>
        <v/>
      </c>
      <c r="S44" s="559">
        <v>11</v>
      </c>
      <c r="T44" s="694">
        <v>1120</v>
      </c>
    </row>
    <row r="45" spans="1:20" ht="13.5" customHeight="1">
      <c r="A45" s="3"/>
      <c r="E45" s="3"/>
      <c r="F45" s="3"/>
      <c r="G45" s="3"/>
      <c r="H45" s="3"/>
      <c r="I45" s="3"/>
      <c r="R45" s="563" t="str">
        <f t="shared" si="11"/>
        <v/>
      </c>
      <c r="S45" s="559">
        <v>12</v>
      </c>
      <c r="T45" s="694">
        <v>1300</v>
      </c>
    </row>
    <row r="46" spans="1:20" ht="13.5" customHeight="1">
      <c r="A46" s="3"/>
      <c r="B46" s="1" t="s">
        <v>36</v>
      </c>
      <c r="E46" s="3"/>
      <c r="F46" s="3"/>
      <c r="G46" s="3"/>
      <c r="H46" s="3"/>
      <c r="I46" s="3"/>
      <c r="R46" s="563" t="str">
        <f t="shared" si="11"/>
        <v/>
      </c>
      <c r="S46" s="559">
        <v>13</v>
      </c>
      <c r="T46" s="694">
        <v>1410</v>
      </c>
    </row>
    <row r="47" spans="1:20" ht="13.5" customHeight="1" thickBot="1">
      <c r="A47" s="3"/>
      <c r="B47" s="32">
        <f>INDEX($B$50:$C$61,MATCH('6W費用試算'!F13,'6W計算シート'!C50:C61,0),1)</f>
        <v>10</v>
      </c>
      <c r="H47" s="3"/>
      <c r="I47" s="3"/>
      <c r="R47" s="563" t="str">
        <f t="shared" si="11"/>
        <v/>
      </c>
      <c r="S47" s="559">
        <v>14</v>
      </c>
      <c r="T47" s="694">
        <v>1510</v>
      </c>
    </row>
    <row r="48" spans="1:20" ht="13.5" customHeight="1">
      <c r="A48" s="3"/>
      <c r="B48" s="709" t="s">
        <v>27</v>
      </c>
      <c r="C48" s="719" t="s">
        <v>32</v>
      </c>
      <c r="D48" s="721" t="s">
        <v>28</v>
      </c>
      <c r="E48" s="721" t="s">
        <v>29</v>
      </c>
      <c r="F48" s="721" t="s">
        <v>30</v>
      </c>
      <c r="G48" s="717" t="s">
        <v>39</v>
      </c>
      <c r="H48" s="717" t="s">
        <v>228</v>
      </c>
      <c r="I48" s="595"/>
      <c r="R48" s="563" t="str">
        <f t="shared" si="11"/>
        <v/>
      </c>
      <c r="S48" s="559">
        <v>15</v>
      </c>
      <c r="T48" s="694">
        <v>1560</v>
      </c>
    </row>
    <row r="49" spans="1:20" ht="13.5" customHeight="1" thickBot="1">
      <c r="A49" s="3"/>
      <c r="B49" s="710"/>
      <c r="C49" s="720"/>
      <c r="D49" s="722"/>
      <c r="E49" s="722"/>
      <c r="F49" s="722"/>
      <c r="G49" s="718"/>
      <c r="H49" s="723"/>
      <c r="I49" s="595"/>
      <c r="R49" s="563" t="str">
        <f t="shared" si="11"/>
        <v/>
      </c>
      <c r="S49" s="559">
        <v>17</v>
      </c>
      <c r="T49" s="694">
        <v>1660</v>
      </c>
    </row>
    <row r="50" spans="1:20" ht="13.5" customHeight="1" thickTop="1">
      <c r="A50" s="3"/>
      <c r="B50" s="43">
        <v>1</v>
      </c>
      <c r="C50" s="44" t="str">
        <f>IF(D50="","",TEXT(D50,"yyyy/mm/dd")&amp;"～"&amp;TEXT(E50,"yyyy/mm/dd")&amp;"("&amp;H50&amp;"日・"&amp;F50&amp;")")</f>
        <v>2026/05/08～2026/06/18(42日・KKC)</v>
      </c>
      <c r="D50" s="45">
        <v>46150</v>
      </c>
      <c r="E50" s="46">
        <v>46191</v>
      </c>
      <c r="F50" s="47" t="s">
        <v>354</v>
      </c>
      <c r="G50" s="48">
        <f t="shared" ref="G50:G57" si="14">IF(D50="","",DATEDIF(D50,E50,"D")+2)</f>
        <v>43</v>
      </c>
      <c r="H50" s="48">
        <f>IF(G50="","",G50-1)</f>
        <v>42</v>
      </c>
      <c r="I50" s="593"/>
      <c r="R50" s="563" t="str">
        <f t="shared" si="11"/>
        <v/>
      </c>
      <c r="S50" s="559">
        <v>19</v>
      </c>
      <c r="T50" s="694">
        <v>1800</v>
      </c>
    </row>
    <row r="51" spans="1:20" ht="13.5" customHeight="1">
      <c r="A51" s="3"/>
      <c r="B51" s="49">
        <v>2</v>
      </c>
      <c r="C51" s="50" t="str">
        <f t="shared" ref="C51:C59" si="15">IF(D51="","",TEXT(D51,"yyyy/mm/dd")&amp;"～"&amp;TEXT(E51,"yyyy/mm/dd")&amp;"("&amp;H51&amp;"日・"&amp;F51&amp;")")</f>
        <v>2026/05/15～2026/06/25(42日・TKC)</v>
      </c>
      <c r="D51" s="51">
        <v>46157</v>
      </c>
      <c r="E51" s="52">
        <v>46198</v>
      </c>
      <c r="F51" s="53" t="s">
        <v>71</v>
      </c>
      <c r="G51" s="54">
        <f t="shared" si="14"/>
        <v>43</v>
      </c>
      <c r="H51" s="54">
        <f t="shared" ref="H51:H62" si="16">IF(G51="","",G51-1)</f>
        <v>42</v>
      </c>
      <c r="I51" s="593"/>
      <c r="R51" s="563" t="str">
        <f t="shared" si="11"/>
        <v/>
      </c>
      <c r="S51" s="559">
        <v>21</v>
      </c>
      <c r="T51" s="694">
        <v>1940</v>
      </c>
    </row>
    <row r="52" spans="1:20" ht="13.5" customHeight="1">
      <c r="A52" s="3"/>
      <c r="B52" s="49">
        <v>3</v>
      </c>
      <c r="C52" s="50" t="str">
        <f t="shared" si="15"/>
        <v>2026/06/24～2026/08/04(42日・KKC)</v>
      </c>
      <c r="D52" s="51">
        <v>46197</v>
      </c>
      <c r="E52" s="52">
        <v>46238</v>
      </c>
      <c r="F52" s="53" t="s">
        <v>76</v>
      </c>
      <c r="G52" s="54">
        <f t="shared" si="14"/>
        <v>43</v>
      </c>
      <c r="H52" s="54">
        <f t="shared" si="16"/>
        <v>42</v>
      </c>
      <c r="I52" s="593"/>
      <c r="R52" s="563" t="str">
        <f t="shared" si="11"/>
        <v/>
      </c>
      <c r="S52" s="559">
        <v>23</v>
      </c>
      <c r="T52" s="694">
        <v>2070</v>
      </c>
    </row>
    <row r="53" spans="1:20" ht="13.5" customHeight="1">
      <c r="A53" s="3"/>
      <c r="B53" s="49">
        <v>4</v>
      </c>
      <c r="C53" s="50" t="str">
        <f t="shared" si="15"/>
        <v>2026/07/15～2026/08/25(42日・TKC)</v>
      </c>
      <c r="D53" s="51">
        <v>46218</v>
      </c>
      <c r="E53" s="52">
        <v>46259</v>
      </c>
      <c r="F53" s="53" t="s">
        <v>345</v>
      </c>
      <c r="G53" s="54">
        <f t="shared" si="14"/>
        <v>43</v>
      </c>
      <c r="H53" s="54">
        <f t="shared" si="16"/>
        <v>42</v>
      </c>
      <c r="I53" s="593"/>
      <c r="R53" s="563" t="str">
        <f t="shared" si="11"/>
        <v/>
      </c>
      <c r="S53" s="559">
        <v>25</v>
      </c>
      <c r="T53" s="694">
        <v>2180</v>
      </c>
    </row>
    <row r="54" spans="1:20" ht="13.5" customHeight="1">
      <c r="A54" s="3"/>
      <c r="B54" s="49">
        <v>5</v>
      </c>
      <c r="C54" s="50" t="str">
        <f t="shared" si="15"/>
        <v>2026/08/19～2026/09/29(42日・KKC)</v>
      </c>
      <c r="D54" s="51">
        <v>46253</v>
      </c>
      <c r="E54" s="52">
        <v>46294</v>
      </c>
      <c r="F54" s="53" t="s">
        <v>76</v>
      </c>
      <c r="G54" s="54">
        <f t="shared" si="14"/>
        <v>43</v>
      </c>
      <c r="H54" s="54">
        <f t="shared" si="16"/>
        <v>42</v>
      </c>
      <c r="I54" s="593"/>
      <c r="R54" s="563" t="str">
        <f t="shared" si="11"/>
        <v/>
      </c>
      <c r="S54" s="559">
        <v>27</v>
      </c>
      <c r="T54" s="694">
        <v>2310</v>
      </c>
    </row>
    <row r="55" spans="1:20" ht="13.5" customHeight="1">
      <c r="A55" s="3"/>
      <c r="B55" s="49">
        <v>6</v>
      </c>
      <c r="C55" s="50" t="str">
        <f t="shared" si="15"/>
        <v>2026/09/02～2026/10/13(42日・TKC)</v>
      </c>
      <c r="D55" s="679">
        <v>46267</v>
      </c>
      <c r="E55" s="56">
        <v>46308</v>
      </c>
      <c r="F55" s="53" t="s">
        <v>344</v>
      </c>
      <c r="G55" s="54">
        <f t="shared" si="14"/>
        <v>43</v>
      </c>
      <c r="H55" s="54">
        <f t="shared" si="16"/>
        <v>42</v>
      </c>
      <c r="I55" s="593"/>
      <c r="R55" s="563" t="str">
        <f t="shared" si="11"/>
        <v/>
      </c>
      <c r="S55" s="559">
        <v>29</v>
      </c>
      <c r="T55" s="694">
        <v>2450</v>
      </c>
    </row>
    <row r="56" spans="1:20" ht="13.5" customHeight="1">
      <c r="A56" s="3"/>
      <c r="B56" s="55">
        <v>7</v>
      </c>
      <c r="C56" s="678" t="str">
        <f t="shared" si="15"/>
        <v>2026/10/07～2026/11/17(42日・KKC)</v>
      </c>
      <c r="D56" s="51">
        <v>46302</v>
      </c>
      <c r="E56" s="52">
        <v>46343</v>
      </c>
      <c r="F56" s="53" t="s">
        <v>76</v>
      </c>
      <c r="G56" s="58">
        <f t="shared" si="14"/>
        <v>43</v>
      </c>
      <c r="H56" s="58">
        <f t="shared" si="16"/>
        <v>42</v>
      </c>
      <c r="I56" s="593"/>
      <c r="J56" s="3"/>
      <c r="K56" s="3"/>
      <c r="R56" s="563" t="str">
        <f t="shared" si="11"/>
        <v/>
      </c>
      <c r="S56" s="559">
        <v>31</v>
      </c>
      <c r="T56" s="694">
        <v>2890</v>
      </c>
    </row>
    <row r="57" spans="1:20" ht="13.5" customHeight="1">
      <c r="A57" s="3"/>
      <c r="B57" s="49">
        <v>8</v>
      </c>
      <c r="C57" s="50" t="str">
        <f t="shared" si="15"/>
        <v>2026/11/25～2027/01/12(49日・TKC)</v>
      </c>
      <c r="D57" s="56">
        <v>46351</v>
      </c>
      <c r="E57" s="56">
        <v>46399</v>
      </c>
      <c r="F57" s="53" t="s">
        <v>344</v>
      </c>
      <c r="G57" s="54">
        <f t="shared" si="14"/>
        <v>50</v>
      </c>
      <c r="H57" s="54">
        <f t="shared" si="16"/>
        <v>49</v>
      </c>
      <c r="I57" s="593"/>
      <c r="J57" s="3"/>
      <c r="K57" s="3"/>
      <c r="R57" s="563" t="str">
        <f t="shared" si="11"/>
        <v/>
      </c>
      <c r="S57" s="559">
        <v>34</v>
      </c>
      <c r="T57" s="694">
        <v>3590</v>
      </c>
    </row>
    <row r="58" spans="1:20" ht="13.5" customHeight="1">
      <c r="A58" s="3"/>
      <c r="B58" s="55">
        <v>9</v>
      </c>
      <c r="C58" s="57" t="str">
        <f t="shared" si="15"/>
        <v>2026/12/09～2027/01/26(49日・KKC)</v>
      </c>
      <c r="D58" s="56">
        <v>46365</v>
      </c>
      <c r="E58" s="56">
        <v>46413</v>
      </c>
      <c r="F58" s="53" t="s">
        <v>76</v>
      </c>
      <c r="G58" s="58">
        <f t="shared" ref="G58:G62" si="17">IF(D58="","",DATEDIF(D58,E58,"D")+2)</f>
        <v>50</v>
      </c>
      <c r="H58" s="58">
        <f t="shared" si="16"/>
        <v>49</v>
      </c>
      <c r="I58" s="593"/>
      <c r="J58" s="3"/>
      <c r="K58" s="3"/>
      <c r="R58" s="563" t="str">
        <f t="shared" si="11"/>
        <v/>
      </c>
      <c r="S58" s="559">
        <v>39</v>
      </c>
      <c r="T58" s="694">
        <v>4500</v>
      </c>
    </row>
    <row r="59" spans="1:20" ht="13.5" customHeight="1">
      <c r="A59" s="3"/>
      <c r="B59" s="49">
        <v>10</v>
      </c>
      <c r="C59" s="57" t="str">
        <f t="shared" si="15"/>
        <v>2027/01/14～2027/02/24(42日・TKC)</v>
      </c>
      <c r="D59" s="56">
        <v>46401</v>
      </c>
      <c r="E59" s="56">
        <v>46442</v>
      </c>
      <c r="F59" s="53" t="s">
        <v>344</v>
      </c>
      <c r="G59" s="58">
        <f t="shared" si="17"/>
        <v>43</v>
      </c>
      <c r="H59" s="58">
        <f t="shared" si="16"/>
        <v>42</v>
      </c>
      <c r="I59" s="593"/>
      <c r="J59" s="3"/>
      <c r="K59" s="3"/>
      <c r="R59" s="563" t="str">
        <f t="shared" si="11"/>
        <v/>
      </c>
      <c r="S59" s="559">
        <v>46</v>
      </c>
      <c r="T59" s="694">
        <v>5900</v>
      </c>
    </row>
    <row r="60" spans="1:20" ht="13.5" customHeight="1">
      <c r="A60" s="3"/>
      <c r="B60" s="55">
        <v>11</v>
      </c>
      <c r="C60" s="57" t="str">
        <f t="shared" ref="C60:C62" si="18">IF(D60="","",TEXT(D60,"yyyy/mm/dd")&amp;"～"&amp;TEXT(E60,"yyyy/mm/dd")&amp;"("&amp;H60&amp;"日・"&amp;F60&amp;")")</f>
        <v/>
      </c>
      <c r="D60" s="56"/>
      <c r="E60" s="56"/>
      <c r="F60" s="53"/>
      <c r="G60" s="58" t="str">
        <f t="shared" ref="G60" si="19">IF(D60="","",DATEDIF(D60,E60,"D")+2)</f>
        <v/>
      </c>
      <c r="H60" s="58" t="str">
        <f t="shared" si="16"/>
        <v/>
      </c>
      <c r="I60" s="593"/>
      <c r="J60" s="3"/>
      <c r="K60" s="3"/>
      <c r="R60" s="563" t="str">
        <f t="shared" si="11"/>
        <v/>
      </c>
      <c r="S60" s="559">
        <v>53</v>
      </c>
      <c r="T60" s="694">
        <v>7470</v>
      </c>
    </row>
    <row r="61" spans="1:20" ht="13.5" customHeight="1">
      <c r="A61" s="3"/>
      <c r="B61" s="55">
        <v>12</v>
      </c>
      <c r="C61" s="57" t="str">
        <f t="shared" si="18"/>
        <v/>
      </c>
      <c r="D61" s="56"/>
      <c r="E61" s="56"/>
      <c r="F61" s="57"/>
      <c r="G61" s="58" t="str">
        <f t="shared" si="17"/>
        <v/>
      </c>
      <c r="H61" s="58" t="str">
        <f t="shared" si="16"/>
        <v/>
      </c>
      <c r="I61" s="593"/>
      <c r="J61" s="3"/>
      <c r="K61" s="3"/>
      <c r="R61" s="563" t="str">
        <f>IF(OR(AND($C$6&gt;S60,$T$32&gt;0,$S$32=1),AND($T$32=0,$S$32=2)),"該当","")</f>
        <v/>
      </c>
      <c r="S61" s="15" t="s">
        <v>257</v>
      </c>
      <c r="T61" s="694">
        <v>9290</v>
      </c>
    </row>
    <row r="62" spans="1:20" ht="13.5" customHeight="1" thickBot="1">
      <c r="A62" s="3"/>
      <c r="B62" s="59">
        <v>13</v>
      </c>
      <c r="C62" s="61" t="str">
        <f t="shared" si="18"/>
        <v/>
      </c>
      <c r="D62" s="60" t="s">
        <v>247</v>
      </c>
      <c r="E62" s="60" t="s">
        <v>247</v>
      </c>
      <c r="F62" s="61" t="s">
        <v>247</v>
      </c>
      <c r="G62" s="62" t="str">
        <f t="shared" si="17"/>
        <v/>
      </c>
      <c r="H62" s="62" t="str">
        <f t="shared" si="16"/>
        <v/>
      </c>
      <c r="I62" s="593"/>
      <c r="J62" s="3"/>
      <c r="K62" s="3"/>
      <c r="R62" s="563" t="str">
        <f>IF(OR(AND($T$32&gt;0,$S$32=2),AND($T$32=0,$S$32=3)),"該当","")</f>
        <v/>
      </c>
      <c r="S62" s="15" t="s">
        <v>258</v>
      </c>
      <c r="T62" s="694">
        <v>10930</v>
      </c>
    </row>
    <row r="63" spans="1:20" ht="13.5" customHeight="1">
      <c r="A63" s="3"/>
      <c r="D63" s="1" t="s">
        <v>247</v>
      </c>
      <c r="E63" s="1" t="s">
        <v>247</v>
      </c>
      <c r="F63" s="1" t="s">
        <v>247</v>
      </c>
      <c r="H63" s="3"/>
      <c r="I63" s="3"/>
      <c r="J63" s="3"/>
      <c r="K63" s="3"/>
      <c r="R63" s="563" t="str">
        <f>IF(OR(AND($T$32&gt;0,$S$32=3),AND($T$32=0,$S$32=4)),"該当","")</f>
        <v/>
      </c>
      <c r="S63" s="15" t="s">
        <v>259</v>
      </c>
      <c r="T63" s="694">
        <v>17760</v>
      </c>
    </row>
    <row r="64" spans="1:20" ht="13.5" customHeight="1">
      <c r="A64" s="3"/>
      <c r="D64" s="1" t="s">
        <v>247</v>
      </c>
      <c r="E64" s="1" t="s">
        <v>247</v>
      </c>
      <c r="F64" s="1" t="s">
        <v>247</v>
      </c>
      <c r="H64" s="143"/>
      <c r="I64" s="143"/>
      <c r="J64" s="3"/>
      <c r="K64" s="3"/>
      <c r="R64" s="563" t="str">
        <f>IF(OR(AND($T$32&gt;0,$S$32=4),AND($T$32=0,$S$32=5)),"該当","")</f>
        <v/>
      </c>
      <c r="S64" s="15" t="s">
        <v>260</v>
      </c>
      <c r="T64" s="694">
        <v>25470</v>
      </c>
    </row>
    <row r="65" spans="1:20" ht="13.5" customHeight="1">
      <c r="A65" s="3"/>
      <c r="D65" s="1" t="s">
        <v>247</v>
      </c>
      <c r="E65" s="1" t="s">
        <v>247</v>
      </c>
      <c r="F65" s="1" t="s">
        <v>247</v>
      </c>
      <c r="H65" s="143"/>
      <c r="I65" s="143"/>
      <c r="J65" s="3"/>
      <c r="K65" s="3"/>
      <c r="R65" s="563" t="str">
        <f>IF(OR(AND($T$32&gt;0,$S$32=5),AND($T$32=0,$S$32=6)),"該当","")</f>
        <v/>
      </c>
      <c r="S65" s="15" t="s">
        <v>261</v>
      </c>
      <c r="T65" s="694">
        <v>29980</v>
      </c>
    </row>
    <row r="66" spans="1:20" ht="13.5" customHeight="1">
      <c r="A66" s="3"/>
      <c r="B66" s="3"/>
      <c r="C66" s="3"/>
      <c r="D66" s="3"/>
      <c r="E66" s="3"/>
      <c r="F66" s="3"/>
      <c r="G66" s="3"/>
      <c r="H66" s="143"/>
      <c r="I66" s="143"/>
      <c r="J66" s="3"/>
      <c r="K66" s="3"/>
      <c r="R66" s="563" t="str">
        <f>IF(OR(AND($T$32&gt;0,$S$32=6),AND($T$32=0,$S$32=7)),"該当","")</f>
        <v/>
      </c>
      <c r="S66" s="15" t="s">
        <v>262</v>
      </c>
      <c r="T66" s="694">
        <v>35030</v>
      </c>
    </row>
    <row r="67" spans="1:20" ht="13.5" customHeight="1">
      <c r="A67" s="3"/>
      <c r="B67" s="3"/>
      <c r="C67" s="3"/>
      <c r="D67" s="3"/>
      <c r="E67" s="3"/>
      <c r="F67" s="3"/>
      <c r="G67" s="3"/>
      <c r="H67" s="143"/>
      <c r="I67" s="143"/>
      <c r="J67" s="3"/>
      <c r="K67" s="3"/>
      <c r="R67" s="563" t="str">
        <f>IF(OR(AND($T$32&gt;0,$S$32=7),AND($T$32=0,$S$32=8)),"該当","")</f>
        <v>該当</v>
      </c>
      <c r="S67" s="15" t="s">
        <v>263</v>
      </c>
      <c r="T67" s="694">
        <v>36480</v>
      </c>
    </row>
    <row r="68" spans="1:20" ht="13.5" customHeight="1">
      <c r="A68" s="3"/>
      <c r="B68" s="3"/>
      <c r="C68" s="3"/>
      <c r="D68" s="3"/>
      <c r="E68" s="3"/>
      <c r="F68" s="3"/>
      <c r="G68" s="3"/>
      <c r="H68" s="143"/>
      <c r="I68" s="143"/>
      <c r="J68" s="3"/>
      <c r="K68" s="3"/>
      <c r="R68" s="563" t="str">
        <f>IF(OR(AND($T$32&gt;0,$S$32=8),AND($T$32=0,$S$32=9)),"該当","")</f>
        <v/>
      </c>
      <c r="S68" s="15" t="s">
        <v>264</v>
      </c>
      <c r="T68" s="694">
        <v>39480</v>
      </c>
    </row>
    <row r="69" spans="1:20" ht="13.5" customHeight="1">
      <c r="A69" s="3"/>
      <c r="B69" s="3"/>
      <c r="C69" s="3"/>
      <c r="D69" s="3"/>
      <c r="E69" s="3"/>
      <c r="F69" s="3"/>
      <c r="G69" s="3"/>
      <c r="H69" s="143"/>
      <c r="I69" s="143"/>
      <c r="J69" s="3"/>
      <c r="K69" s="3"/>
      <c r="R69" s="563" t="str">
        <f>IF(OR(AND($T$32&gt;0,$S$32=9),AND($T$32=0,$S$32=10)),"該当","")</f>
        <v/>
      </c>
      <c r="S69" s="15" t="s">
        <v>265</v>
      </c>
      <c r="T69" s="694">
        <v>43710</v>
      </c>
    </row>
    <row r="70" spans="1:20" ht="13.5" customHeight="1">
      <c r="A70" s="3"/>
      <c r="I70" s="143"/>
      <c r="J70" s="3"/>
      <c r="K70" s="3"/>
      <c r="R70" s="563" t="str">
        <f>IF(OR(AND($T$32&gt;0,$S$32=10),AND($T$32=0,$S$32=11)),"該当","")</f>
        <v/>
      </c>
      <c r="S70" s="15" t="s">
        <v>266</v>
      </c>
      <c r="T70" s="694">
        <v>54430</v>
      </c>
    </row>
    <row r="71" spans="1:20" ht="13.5" customHeight="1">
      <c r="A71" s="3"/>
      <c r="I71" s="143"/>
      <c r="J71" s="3"/>
      <c r="K71" s="3"/>
      <c r="R71" s="563" t="str">
        <f>IF(OR(AND($T$32&gt;0,$S$32=11),AND($T$32=0,$S$32=12)),"該当","")</f>
        <v/>
      </c>
      <c r="S71" s="15" t="s">
        <v>267</v>
      </c>
      <c r="T71" s="694">
        <v>64400</v>
      </c>
    </row>
    <row r="72" spans="1:20" ht="13.5" customHeight="1">
      <c r="A72" s="3"/>
      <c r="I72" s="143"/>
      <c r="J72" s="3"/>
      <c r="K72" s="3"/>
      <c r="R72" s="563" t="str">
        <f>IF($C$6=S72,"該当","")</f>
        <v/>
      </c>
      <c r="S72" s="560">
        <v>366</v>
      </c>
      <c r="T72" s="694">
        <v>64580</v>
      </c>
    </row>
    <row r="73" spans="1:20" ht="13.5" customHeight="1">
      <c r="A73" s="3"/>
      <c r="I73" s="143"/>
      <c r="J73" s="3"/>
      <c r="K73" s="3"/>
      <c r="R73" s="563" t="str">
        <f t="shared" ref="R73:R74" si="20">IF($C$6=S73,"該当","")</f>
        <v/>
      </c>
      <c r="S73" s="560">
        <v>367</v>
      </c>
      <c r="T73" s="694">
        <v>64750</v>
      </c>
    </row>
    <row r="74" spans="1:20" ht="13.5" customHeight="1" thickBot="1">
      <c r="A74" s="3"/>
      <c r="I74" s="143"/>
      <c r="J74" s="3"/>
      <c r="K74" s="3"/>
      <c r="R74" s="564" t="str">
        <f t="shared" si="20"/>
        <v/>
      </c>
      <c r="S74" s="561">
        <v>368</v>
      </c>
      <c r="T74" s="695">
        <v>64930</v>
      </c>
    </row>
    <row r="75" spans="1:20" ht="13.5" customHeight="1">
      <c r="A75" s="3"/>
      <c r="I75" s="3"/>
      <c r="J75" s="3"/>
      <c r="K75" s="3"/>
    </row>
    <row r="76" spans="1:20" ht="13.5" customHeight="1">
      <c r="A76" s="3"/>
      <c r="B76" s="3"/>
      <c r="C76" s="3"/>
      <c r="D76" s="3"/>
      <c r="E76" s="3"/>
      <c r="F76" s="3"/>
      <c r="G76" s="3"/>
      <c r="H76" s="3"/>
      <c r="I76" s="3"/>
      <c r="J76" s="3"/>
      <c r="K76" s="3"/>
    </row>
    <row r="77" spans="1:20" ht="13.5" customHeight="1">
      <c r="A77" s="3"/>
      <c r="B77" s="3"/>
      <c r="C77" s="3"/>
      <c r="D77" s="3"/>
      <c r="E77" s="3"/>
      <c r="F77" s="3"/>
      <c r="G77" s="3"/>
      <c r="H77" s="3"/>
      <c r="I77" s="3"/>
      <c r="J77" s="3"/>
      <c r="K77" s="3"/>
    </row>
    <row r="78" spans="1:20" ht="13.5" customHeight="1">
      <c r="A78" s="3"/>
      <c r="B78" s="3"/>
      <c r="C78" s="3"/>
      <c r="D78" s="3"/>
      <c r="E78" s="3"/>
      <c r="F78" s="3"/>
      <c r="G78" s="3"/>
      <c r="H78" s="3"/>
      <c r="I78" s="3"/>
      <c r="J78" s="3"/>
      <c r="K78" s="3"/>
    </row>
    <row r="79" spans="1:20" ht="13.5" customHeight="1">
      <c r="A79" s="3"/>
      <c r="B79" s="3"/>
      <c r="C79" s="3"/>
      <c r="D79" s="3"/>
      <c r="E79" s="3"/>
      <c r="F79" s="3"/>
      <c r="G79" s="3"/>
      <c r="H79" s="3"/>
      <c r="I79" s="3"/>
      <c r="J79" s="3"/>
      <c r="K79" s="3"/>
    </row>
    <row r="80" spans="1:20" ht="13.5" customHeight="1">
      <c r="A80" s="3"/>
      <c r="B80" s="3"/>
      <c r="C80" s="3"/>
      <c r="D80" s="3"/>
      <c r="E80" s="3"/>
      <c r="F80" s="3"/>
      <c r="G80" s="3"/>
      <c r="H80" s="3"/>
      <c r="I80" s="3"/>
      <c r="J80" s="3"/>
      <c r="K80" s="3"/>
    </row>
    <row r="81" spans="1:11" ht="13.5" customHeight="1">
      <c r="A81" s="3"/>
      <c r="B81" s="3"/>
      <c r="C81" s="3"/>
      <c r="D81" s="3"/>
      <c r="E81" s="3"/>
      <c r="F81" s="3"/>
      <c r="G81" s="3"/>
      <c r="H81" s="3"/>
      <c r="I81" s="3"/>
      <c r="J81" s="3"/>
      <c r="K81" s="3"/>
    </row>
    <row r="82" spans="1:11" ht="13.5" customHeight="1">
      <c r="A82" s="3"/>
      <c r="B82" s="3"/>
      <c r="C82" s="3"/>
      <c r="D82" s="3"/>
      <c r="E82" s="3"/>
      <c r="F82" s="3"/>
      <c r="G82" s="3"/>
      <c r="H82" s="3"/>
      <c r="I82" s="3"/>
      <c r="J82" s="3"/>
      <c r="K82" s="3"/>
    </row>
    <row r="83" spans="1:11" ht="13.5" customHeight="1">
      <c r="A83" s="3"/>
      <c r="B83" s="3"/>
      <c r="C83" s="3"/>
      <c r="D83" s="3"/>
      <c r="E83" s="3"/>
      <c r="F83" s="3"/>
      <c r="G83" s="3"/>
      <c r="H83" s="3"/>
      <c r="I83" s="3"/>
      <c r="J83" s="3"/>
      <c r="K83" s="3"/>
    </row>
    <row r="84" spans="1:11" ht="13.5" customHeight="1">
      <c r="A84" s="3"/>
      <c r="B84" s="3"/>
      <c r="C84" s="3"/>
      <c r="D84" s="3"/>
      <c r="E84" s="3"/>
      <c r="F84" s="3"/>
      <c r="G84" s="3"/>
      <c r="H84" s="3"/>
      <c r="I84" s="3"/>
      <c r="J84" s="3"/>
      <c r="K84" s="3"/>
    </row>
    <row r="85" spans="1:11" ht="13.5" customHeight="1">
      <c r="A85" s="3"/>
      <c r="B85" s="3"/>
      <c r="C85" s="3"/>
      <c r="D85" s="3"/>
      <c r="E85" s="3"/>
      <c r="F85" s="3"/>
      <c r="G85" s="3"/>
      <c r="H85" s="3"/>
      <c r="I85" s="3"/>
      <c r="J85" s="3"/>
      <c r="K85" s="3"/>
    </row>
    <row r="86" spans="1:11" ht="13.5" customHeight="1">
      <c r="A86" s="3"/>
      <c r="B86" s="3"/>
      <c r="C86" s="3"/>
      <c r="D86" s="3"/>
      <c r="E86" s="3"/>
      <c r="F86" s="3"/>
      <c r="G86" s="3"/>
      <c r="H86" s="3"/>
      <c r="I86" s="3"/>
      <c r="J86" s="3"/>
      <c r="K86" s="3"/>
    </row>
    <row r="87" spans="1:11" ht="13.5" customHeight="1">
      <c r="A87" s="3"/>
      <c r="B87" s="3"/>
      <c r="C87" s="3"/>
      <c r="D87" s="3"/>
      <c r="E87" s="3"/>
      <c r="F87" s="3"/>
      <c r="G87" s="3"/>
      <c r="H87" s="3"/>
      <c r="I87" s="3"/>
      <c r="J87" s="3"/>
    </row>
    <row r="88" spans="1:11" ht="13.5" customHeight="1">
      <c r="A88" s="3"/>
      <c r="B88" s="3"/>
      <c r="C88" s="3"/>
      <c r="D88" s="3"/>
      <c r="E88" s="3"/>
      <c r="F88" s="3"/>
      <c r="G88" s="3"/>
      <c r="H88" s="3"/>
      <c r="I88" s="3"/>
      <c r="J88" s="3"/>
    </row>
    <row r="89" spans="1:11" ht="13.5" customHeight="1">
      <c r="A89" s="3"/>
      <c r="B89" s="3"/>
      <c r="C89" s="3"/>
      <c r="D89" s="3"/>
      <c r="E89" s="3"/>
      <c r="F89" s="3"/>
      <c r="G89" s="3"/>
      <c r="H89" s="3"/>
      <c r="I89" s="3"/>
      <c r="J89" s="3"/>
      <c r="K89" s="3"/>
    </row>
    <row r="90" spans="1:11" ht="13.5" customHeight="1">
      <c r="A90" s="3"/>
      <c r="B90" s="3"/>
      <c r="C90" s="3"/>
      <c r="D90" s="3"/>
      <c r="E90" s="3"/>
      <c r="F90" s="3"/>
      <c r="G90" s="3"/>
      <c r="H90" s="3"/>
      <c r="I90" s="3"/>
      <c r="J90" s="3"/>
      <c r="K90" s="3"/>
    </row>
    <row r="91" spans="1:11" ht="13.5" customHeight="1">
      <c r="A91" s="3"/>
      <c r="B91" s="3"/>
      <c r="C91" s="3"/>
      <c r="D91" s="3"/>
      <c r="E91" s="3"/>
      <c r="F91" s="3"/>
      <c r="G91" s="3"/>
      <c r="H91" s="3"/>
      <c r="I91" s="3"/>
      <c r="J91" s="3"/>
      <c r="K91" s="3"/>
    </row>
    <row r="92" spans="1:11" ht="13.5" customHeight="1">
      <c r="A92" s="3"/>
      <c r="B92" s="3"/>
      <c r="C92" s="3"/>
      <c r="D92" s="3"/>
      <c r="E92" s="3"/>
      <c r="F92" s="3"/>
      <c r="G92" s="3"/>
      <c r="H92" s="3"/>
      <c r="I92" s="3"/>
      <c r="J92" s="3"/>
      <c r="K92" s="3"/>
    </row>
    <row r="93" spans="1:11" ht="13.5" customHeight="1">
      <c r="A93" s="3"/>
      <c r="B93" s="3"/>
      <c r="C93" s="3"/>
      <c r="D93" s="3"/>
      <c r="E93" s="3"/>
      <c r="F93" s="3"/>
      <c r="G93" s="3"/>
      <c r="H93" s="3"/>
      <c r="I93" s="3"/>
      <c r="J93" s="3"/>
      <c r="K93" s="3"/>
    </row>
    <row r="94" spans="1:11" ht="13.5" customHeight="1">
      <c r="A94" s="3"/>
      <c r="B94" s="3"/>
      <c r="C94" s="3"/>
      <c r="D94" s="3"/>
      <c r="E94" s="3"/>
      <c r="F94" s="3"/>
      <c r="G94" s="3"/>
      <c r="H94" s="3"/>
      <c r="I94" s="3"/>
      <c r="J94" s="3"/>
      <c r="K94" s="3"/>
    </row>
    <row r="95" spans="1:11" ht="13.5" customHeight="1">
      <c r="A95" s="3"/>
      <c r="B95" s="3"/>
      <c r="C95" s="3"/>
      <c r="D95" s="3"/>
      <c r="E95" s="3"/>
      <c r="F95" s="3"/>
      <c r="G95" s="3"/>
      <c r="H95" s="3"/>
      <c r="I95" s="3"/>
      <c r="J95" s="3"/>
      <c r="K95" s="3"/>
    </row>
    <row r="96" spans="1:11" ht="13.5" customHeight="1">
      <c r="A96" s="3"/>
      <c r="B96" s="3"/>
      <c r="C96" s="3"/>
      <c r="D96" s="3"/>
      <c r="E96" s="3"/>
      <c r="F96" s="3"/>
      <c r="G96" s="3"/>
      <c r="H96" s="3"/>
      <c r="I96" s="3"/>
      <c r="J96" s="3"/>
      <c r="K96" s="3"/>
    </row>
    <row r="97" spans="1:11" ht="13.5" customHeight="1">
      <c r="A97" s="3"/>
      <c r="B97" s="3"/>
      <c r="C97" s="3"/>
      <c r="D97" s="3"/>
      <c r="E97" s="3"/>
      <c r="F97" s="3"/>
      <c r="G97" s="3"/>
      <c r="H97" s="3"/>
      <c r="I97" s="3"/>
      <c r="J97" s="3"/>
      <c r="K97" s="3"/>
    </row>
    <row r="98" spans="1:11" ht="13.5" customHeight="1">
      <c r="A98" s="3"/>
      <c r="B98" s="3"/>
      <c r="C98" s="3"/>
      <c r="D98" s="3"/>
      <c r="E98" s="3"/>
      <c r="F98" s="3"/>
      <c r="G98" s="3"/>
      <c r="H98" s="3"/>
      <c r="I98" s="3"/>
      <c r="J98" s="3"/>
      <c r="K98" s="3"/>
    </row>
    <row r="99" spans="1:11" ht="13.5" customHeight="1">
      <c r="A99" s="3"/>
      <c r="B99" s="3"/>
      <c r="C99" s="3"/>
      <c r="D99" s="3"/>
      <c r="E99" s="3"/>
      <c r="F99" s="3"/>
      <c r="G99" s="3"/>
      <c r="H99" s="3"/>
      <c r="I99" s="3"/>
      <c r="J99" s="3"/>
      <c r="K99" s="3"/>
    </row>
    <row r="100" spans="1:11" ht="13.5" customHeight="1">
      <c r="A100" s="3"/>
      <c r="B100" s="3"/>
      <c r="C100" s="3"/>
      <c r="D100" s="3"/>
      <c r="E100" s="3"/>
      <c r="F100" s="3"/>
      <c r="G100" s="3"/>
      <c r="H100" s="3"/>
      <c r="I100" s="3"/>
      <c r="J100" s="3"/>
      <c r="K100" s="3"/>
    </row>
    <row r="101" spans="1:11" ht="13.5" customHeight="1">
      <c r="A101" s="3"/>
      <c r="B101" s="3"/>
      <c r="C101" s="3"/>
      <c r="D101" s="3"/>
      <c r="E101" s="3"/>
      <c r="F101" s="3"/>
      <c r="G101" s="3"/>
      <c r="H101" s="3"/>
      <c r="I101" s="3"/>
      <c r="J101" s="3"/>
      <c r="K101" s="3"/>
    </row>
    <row r="102" spans="1:11" ht="13.5" customHeight="1">
      <c r="A102" s="3"/>
      <c r="B102" s="3"/>
      <c r="C102" s="3"/>
      <c r="D102" s="3"/>
      <c r="E102" s="3"/>
      <c r="F102" s="3"/>
      <c r="G102" s="3"/>
      <c r="H102" s="3"/>
      <c r="I102" s="3"/>
      <c r="J102" s="3"/>
      <c r="K102" s="3"/>
    </row>
    <row r="103" spans="1:11" ht="13.5" customHeight="1">
      <c r="A103" s="3"/>
      <c r="B103" s="3"/>
      <c r="C103" s="3"/>
      <c r="D103" s="3"/>
      <c r="E103" s="3"/>
      <c r="F103" s="3"/>
      <c r="G103" s="3"/>
      <c r="H103" s="3"/>
      <c r="I103" s="3"/>
      <c r="J103" s="3"/>
      <c r="K103" s="3"/>
    </row>
    <row r="104" spans="1:11" ht="13.5" customHeight="1">
      <c r="A104" s="3"/>
      <c r="B104" s="3"/>
      <c r="C104" s="3"/>
      <c r="D104" s="3"/>
      <c r="E104" s="3"/>
      <c r="F104" s="3"/>
      <c r="G104" s="3"/>
      <c r="H104" s="3"/>
      <c r="I104" s="3"/>
      <c r="J104" s="3"/>
      <c r="K104" s="3"/>
    </row>
    <row r="105" spans="1:11" ht="13.5" customHeight="1">
      <c r="A105" s="3"/>
      <c r="B105" s="3"/>
      <c r="C105" s="3"/>
      <c r="D105" s="3"/>
      <c r="E105" s="3"/>
      <c r="F105" s="3"/>
      <c r="G105" s="3"/>
      <c r="H105" s="3"/>
      <c r="I105" s="3"/>
      <c r="J105" s="3"/>
      <c r="K105" s="3"/>
    </row>
    <row r="106" spans="1:11" ht="13.5" customHeight="1">
      <c r="A106" s="3"/>
      <c r="B106" s="3"/>
      <c r="C106" s="3"/>
      <c r="D106" s="3"/>
      <c r="E106" s="3"/>
      <c r="F106" s="3"/>
      <c r="G106" s="3"/>
      <c r="H106" s="3"/>
      <c r="I106" s="3"/>
      <c r="J106" s="3"/>
      <c r="K106" s="3"/>
    </row>
    <row r="107" spans="1:11" ht="13.5" customHeight="1">
      <c r="A107" s="3"/>
      <c r="B107" s="3"/>
      <c r="C107" s="3"/>
      <c r="D107" s="3"/>
      <c r="E107" s="3"/>
      <c r="F107" s="3"/>
      <c r="G107" s="3"/>
      <c r="H107" s="3"/>
      <c r="I107" s="3"/>
      <c r="J107" s="3"/>
      <c r="K107" s="3"/>
    </row>
    <row r="108" spans="1:11" ht="13.5" customHeight="1">
      <c r="A108" s="3"/>
      <c r="B108" s="3"/>
      <c r="C108" s="3"/>
      <c r="D108" s="3"/>
      <c r="E108" s="3"/>
      <c r="F108" s="3"/>
      <c r="G108" s="3"/>
      <c r="H108" s="3"/>
      <c r="I108" s="3"/>
      <c r="J108" s="3"/>
      <c r="K108" s="3"/>
    </row>
    <row r="109" spans="1:11" ht="13.5" customHeight="1">
      <c r="A109" s="3"/>
      <c r="B109" s="3"/>
      <c r="C109" s="3"/>
      <c r="D109" s="3"/>
      <c r="E109" s="3"/>
      <c r="F109" s="3"/>
      <c r="G109" s="3"/>
      <c r="H109" s="3"/>
      <c r="I109" s="3"/>
      <c r="J109" s="3"/>
      <c r="K109" s="3"/>
    </row>
    <row r="110" spans="1:11" ht="13.5" customHeight="1">
      <c r="A110" s="3"/>
      <c r="B110" s="3"/>
      <c r="C110" s="3"/>
      <c r="D110" s="3"/>
      <c r="E110" s="3"/>
      <c r="F110" s="3"/>
      <c r="G110" s="3"/>
      <c r="H110" s="3"/>
      <c r="I110" s="3"/>
      <c r="J110" s="3"/>
      <c r="K110" s="3"/>
    </row>
    <row r="111" spans="1:11" ht="13.5" customHeight="1">
      <c r="A111" s="3"/>
      <c r="B111" s="3"/>
      <c r="C111" s="3"/>
      <c r="D111" s="3"/>
      <c r="E111" s="3"/>
      <c r="F111" s="3"/>
      <c r="G111" s="3"/>
      <c r="H111" s="3"/>
      <c r="I111" s="3"/>
      <c r="J111" s="3"/>
      <c r="K111" s="3"/>
    </row>
    <row r="112" spans="1:11" ht="13.5" customHeight="1">
      <c r="A112" s="3"/>
      <c r="B112" s="3"/>
      <c r="C112" s="3"/>
      <c r="D112" s="3"/>
      <c r="E112" s="3"/>
      <c r="F112" s="3"/>
      <c r="G112" s="3"/>
      <c r="H112" s="3"/>
      <c r="I112" s="3"/>
      <c r="J112" s="3"/>
      <c r="K112" s="3"/>
    </row>
    <row r="113" spans="1:11" ht="13.5" customHeight="1">
      <c r="A113" s="3"/>
      <c r="B113" s="3"/>
      <c r="C113" s="3"/>
      <c r="D113" s="3"/>
      <c r="E113" s="3"/>
      <c r="F113" s="3"/>
      <c r="G113" s="3"/>
      <c r="H113" s="3"/>
      <c r="I113" s="3"/>
      <c r="J113" s="3"/>
      <c r="K113" s="3"/>
    </row>
    <row r="114" spans="1:11" ht="13.5" customHeight="1">
      <c r="A114" s="3"/>
      <c r="B114" s="3"/>
      <c r="C114" s="3"/>
      <c r="D114" s="3"/>
      <c r="E114" s="3"/>
      <c r="F114" s="3"/>
      <c r="G114" s="3"/>
      <c r="H114" s="3"/>
      <c r="I114" s="3"/>
      <c r="J114" s="3"/>
      <c r="K114" s="3"/>
    </row>
    <row r="115" spans="1:11" ht="13.5" customHeight="1">
      <c r="A115" s="3"/>
      <c r="B115" s="3"/>
      <c r="C115" s="3"/>
      <c r="D115" s="3"/>
      <c r="E115" s="3"/>
      <c r="F115" s="3"/>
      <c r="G115" s="3"/>
      <c r="H115" s="3"/>
      <c r="I115" s="3"/>
      <c r="J115" s="3"/>
      <c r="K115" s="3"/>
    </row>
    <row r="116" spans="1:11" ht="13.5" customHeight="1">
      <c r="A116" s="3"/>
      <c r="B116" s="3"/>
      <c r="C116" s="3"/>
      <c r="D116" s="3"/>
      <c r="E116" s="3"/>
      <c r="F116" s="3"/>
      <c r="G116" s="3"/>
      <c r="H116" s="3"/>
      <c r="I116" s="3"/>
      <c r="J116" s="3"/>
      <c r="K116" s="3"/>
    </row>
    <row r="117" spans="1:11" ht="13.5" customHeight="1">
      <c r="A117" s="3"/>
      <c r="B117" s="3"/>
      <c r="C117" s="3"/>
      <c r="D117" s="3"/>
      <c r="E117" s="3"/>
      <c r="F117" s="3"/>
      <c r="G117" s="3"/>
      <c r="H117" s="3"/>
      <c r="I117" s="3"/>
      <c r="J117" s="3"/>
      <c r="K117" s="3"/>
    </row>
    <row r="118" spans="1:11" ht="13.5" customHeight="1">
      <c r="A118" s="3"/>
      <c r="B118" s="3"/>
      <c r="C118" s="3"/>
      <c r="D118" s="3"/>
      <c r="E118" s="3"/>
      <c r="F118" s="3"/>
      <c r="G118" s="3"/>
      <c r="H118" s="3"/>
      <c r="I118" s="3"/>
      <c r="J118" s="3"/>
      <c r="K118" s="3"/>
    </row>
    <row r="119" spans="1:11" ht="13.5" customHeight="1">
      <c r="A119" s="3"/>
      <c r="B119" s="3"/>
      <c r="C119" s="3"/>
      <c r="D119" s="3"/>
      <c r="E119" s="3"/>
      <c r="F119" s="3"/>
      <c r="G119" s="3"/>
      <c r="H119" s="3"/>
      <c r="I119" s="3"/>
      <c r="J119" s="3"/>
      <c r="K119" s="3"/>
    </row>
    <row r="120" spans="1:11" ht="13.5" customHeight="1">
      <c r="A120" s="3"/>
      <c r="B120" s="3"/>
      <c r="C120" s="3"/>
      <c r="D120" s="3"/>
      <c r="E120" s="3"/>
      <c r="F120" s="3"/>
      <c r="G120" s="3"/>
      <c r="H120" s="3"/>
      <c r="I120" s="3"/>
      <c r="J120" s="3"/>
      <c r="K120" s="3"/>
    </row>
    <row r="121" spans="1:11" ht="13.5" customHeight="1">
      <c r="A121" s="3"/>
      <c r="B121" s="3"/>
      <c r="C121" s="3"/>
      <c r="D121" s="3"/>
      <c r="E121" s="3"/>
      <c r="F121" s="3"/>
      <c r="G121" s="3"/>
      <c r="H121" s="3"/>
      <c r="I121" s="3"/>
      <c r="J121" s="3"/>
      <c r="K121" s="3"/>
    </row>
    <row r="122" spans="1:11" ht="13.5" customHeight="1">
      <c r="A122" s="3"/>
      <c r="B122" s="3"/>
      <c r="C122" s="3"/>
      <c r="D122" s="3"/>
      <c r="E122" s="3"/>
      <c r="F122" s="3"/>
      <c r="G122" s="3"/>
      <c r="H122" s="3"/>
      <c r="I122" s="3"/>
      <c r="J122" s="3"/>
      <c r="K122" s="3"/>
    </row>
    <row r="123" spans="1:11" ht="13.5" customHeight="1">
      <c r="A123" s="3"/>
      <c r="B123" s="3"/>
      <c r="C123" s="3"/>
      <c r="D123" s="3"/>
      <c r="E123" s="3"/>
      <c r="F123" s="3"/>
      <c r="G123" s="3"/>
      <c r="H123" s="3"/>
      <c r="I123" s="3"/>
      <c r="J123" s="3"/>
      <c r="K123" s="3"/>
    </row>
    <row r="124" spans="1:11" ht="13.5" customHeight="1">
      <c r="A124" s="3"/>
      <c r="B124" s="3"/>
      <c r="C124" s="3"/>
      <c r="D124" s="3"/>
      <c r="E124" s="3"/>
      <c r="F124" s="3"/>
      <c r="G124" s="3"/>
      <c r="H124" s="3"/>
      <c r="I124" s="3"/>
      <c r="J124" s="3"/>
      <c r="K124" s="3"/>
    </row>
    <row r="125" spans="1:11" ht="13.5" customHeight="1">
      <c r="A125" s="3"/>
      <c r="B125" s="3"/>
      <c r="C125" s="3"/>
      <c r="D125" s="3"/>
      <c r="E125" s="3"/>
      <c r="F125" s="3"/>
      <c r="G125" s="3"/>
      <c r="H125" s="3"/>
      <c r="I125" s="3"/>
      <c r="J125" s="3"/>
      <c r="K125" s="3"/>
    </row>
    <row r="126" spans="1:11" ht="13.5" customHeight="1">
      <c r="A126" s="3"/>
      <c r="B126" s="3"/>
      <c r="C126" s="3"/>
      <c r="D126" s="3"/>
      <c r="E126" s="3"/>
      <c r="F126" s="3"/>
      <c r="G126" s="3"/>
      <c r="H126" s="3"/>
      <c r="I126" s="3"/>
      <c r="J126" s="3"/>
      <c r="K126" s="3"/>
    </row>
    <row r="127" spans="1:11" ht="13.5" customHeight="1">
      <c r="A127" s="3"/>
      <c r="B127" s="3"/>
      <c r="C127" s="3"/>
      <c r="D127" s="3"/>
      <c r="E127" s="3"/>
      <c r="F127" s="3"/>
      <c r="G127" s="3"/>
      <c r="H127" s="3"/>
      <c r="I127" s="3"/>
      <c r="J127" s="3"/>
      <c r="K127" s="3"/>
    </row>
    <row r="128" spans="1:11" ht="13.5" customHeight="1">
      <c r="A128" s="3"/>
      <c r="B128" s="3"/>
      <c r="C128" s="3"/>
      <c r="D128" s="3"/>
      <c r="E128" s="3"/>
      <c r="F128" s="3"/>
      <c r="G128" s="3"/>
      <c r="H128" s="3"/>
      <c r="I128" s="3"/>
      <c r="J128" s="3"/>
      <c r="K128" s="3"/>
    </row>
    <row r="129" spans="1:11" ht="13.5" customHeight="1">
      <c r="A129" s="3"/>
      <c r="B129" s="3"/>
      <c r="C129" s="3"/>
      <c r="D129" s="3"/>
      <c r="E129" s="3"/>
      <c r="F129" s="3"/>
      <c r="G129" s="3"/>
      <c r="H129" s="3"/>
      <c r="I129" s="3"/>
      <c r="J129" s="3"/>
      <c r="K129" s="3"/>
    </row>
    <row r="130" spans="1:11" ht="13.5" customHeight="1">
      <c r="A130" s="3"/>
      <c r="B130" s="3"/>
      <c r="C130" s="3"/>
      <c r="D130" s="3"/>
      <c r="E130" s="3"/>
      <c r="F130" s="3"/>
      <c r="G130" s="3"/>
      <c r="H130" s="3"/>
      <c r="I130" s="3"/>
      <c r="J130" s="3"/>
      <c r="K130" s="3"/>
    </row>
    <row r="131" spans="1:11" ht="13.5" customHeight="1">
      <c r="A131" s="3"/>
      <c r="B131" s="3"/>
      <c r="C131" s="3"/>
      <c r="D131" s="3"/>
      <c r="E131" s="3"/>
      <c r="F131" s="3"/>
      <c r="G131" s="3"/>
      <c r="H131" s="3"/>
      <c r="I131" s="3"/>
      <c r="J131" s="3"/>
      <c r="K131" s="3"/>
    </row>
    <row r="132" spans="1:11" ht="13.5" customHeight="1">
      <c r="A132" s="3"/>
      <c r="B132" s="3"/>
      <c r="C132" s="3"/>
      <c r="D132" s="3"/>
      <c r="E132" s="3"/>
      <c r="F132" s="3"/>
      <c r="G132" s="3"/>
      <c r="H132" s="3"/>
      <c r="I132" s="3"/>
      <c r="J132" s="3"/>
      <c r="K132" s="3"/>
    </row>
    <row r="133" spans="1:11" ht="13.5" customHeight="1">
      <c r="A133" s="3"/>
      <c r="B133" s="3"/>
      <c r="C133" s="3"/>
      <c r="D133" s="3"/>
      <c r="E133" s="3"/>
      <c r="F133" s="3"/>
      <c r="G133" s="3"/>
      <c r="H133" s="3"/>
      <c r="I133" s="3"/>
      <c r="J133" s="3"/>
    </row>
    <row r="134" spans="1:11" ht="13.5" customHeight="1">
      <c r="A134" s="3"/>
      <c r="B134" s="3"/>
      <c r="C134" s="3"/>
      <c r="D134" s="3"/>
      <c r="E134" s="3"/>
      <c r="F134" s="3"/>
      <c r="G134" s="3"/>
      <c r="H134" s="3"/>
      <c r="I134" s="3"/>
      <c r="J134" s="3"/>
    </row>
    <row r="135" spans="1:11" ht="13.5" customHeight="1">
      <c r="A135" s="3"/>
      <c r="B135" s="3"/>
      <c r="C135" s="3"/>
      <c r="D135" s="3"/>
      <c r="E135" s="3"/>
      <c r="F135" s="3"/>
      <c r="G135" s="3"/>
      <c r="H135" s="3"/>
      <c r="I135" s="3"/>
      <c r="J135" s="3"/>
    </row>
    <row r="136" spans="1:11" ht="13.5" customHeight="1">
      <c r="A136" s="3"/>
      <c r="B136" s="3"/>
      <c r="C136" s="3"/>
      <c r="D136" s="3"/>
      <c r="E136" s="3"/>
      <c r="F136" s="3"/>
      <c r="G136" s="3"/>
      <c r="H136" s="3"/>
      <c r="I136" s="3"/>
      <c r="J136" s="3"/>
    </row>
    <row r="137" spans="1:11" ht="13.5" customHeight="1">
      <c r="A137" s="3"/>
      <c r="B137" s="3"/>
      <c r="C137" s="3"/>
      <c r="D137" s="3"/>
      <c r="E137" s="3"/>
      <c r="F137" s="3"/>
      <c r="G137" s="3"/>
      <c r="H137" s="3"/>
      <c r="I137" s="3"/>
      <c r="J137" s="3"/>
    </row>
    <row r="138" spans="1:11" ht="13.5" customHeight="1">
      <c r="A138" s="3"/>
      <c r="B138" s="3"/>
      <c r="C138" s="3"/>
      <c r="D138" s="3"/>
      <c r="E138" s="3"/>
      <c r="F138" s="3"/>
      <c r="G138" s="3"/>
      <c r="H138" s="3"/>
      <c r="I138" s="3"/>
      <c r="J138" s="3"/>
    </row>
    <row r="139" spans="1:11" ht="13.5" customHeight="1">
      <c r="A139" s="3"/>
      <c r="B139" s="3"/>
      <c r="C139" s="3"/>
      <c r="D139" s="3"/>
      <c r="E139" s="3"/>
      <c r="F139" s="3"/>
      <c r="G139" s="3"/>
      <c r="H139" s="3"/>
      <c r="I139" s="3"/>
      <c r="J139" s="3"/>
    </row>
    <row r="140" spans="1:11" ht="13.5" customHeight="1">
      <c r="A140" s="3"/>
      <c r="B140" s="3"/>
      <c r="C140" s="3"/>
      <c r="D140" s="3"/>
      <c r="E140" s="3"/>
      <c r="F140" s="3"/>
      <c r="G140" s="3"/>
      <c r="H140" s="3"/>
      <c r="I140" s="3"/>
      <c r="J140" s="3"/>
    </row>
    <row r="141" spans="1:11" ht="13.5" customHeight="1">
      <c r="A141" s="3"/>
      <c r="B141" s="3"/>
      <c r="C141" s="3"/>
      <c r="D141" s="3"/>
      <c r="E141" s="3"/>
      <c r="F141" s="3"/>
      <c r="G141" s="3"/>
      <c r="H141" s="3"/>
      <c r="I141" s="3"/>
      <c r="J141" s="3"/>
    </row>
    <row r="142" spans="1:11" ht="13.5" customHeight="1">
      <c r="A142" s="3"/>
      <c r="B142" s="3"/>
      <c r="C142" s="3"/>
      <c r="D142" s="3"/>
      <c r="E142" s="3"/>
      <c r="F142" s="3"/>
      <c r="G142" s="3"/>
      <c r="H142" s="3"/>
      <c r="I142" s="3"/>
      <c r="J142" s="3"/>
    </row>
    <row r="143" spans="1:11" ht="13.5" customHeight="1">
      <c r="A143" s="3"/>
      <c r="B143" s="3"/>
      <c r="C143" s="3"/>
      <c r="D143" s="3"/>
      <c r="E143" s="3"/>
      <c r="F143" s="3"/>
      <c r="G143" s="3"/>
      <c r="H143" s="3"/>
      <c r="I143" s="3"/>
      <c r="J143" s="3"/>
    </row>
    <row r="144" spans="1:11" ht="13.5" customHeight="1">
      <c r="A144" s="3"/>
      <c r="B144" s="3"/>
      <c r="C144" s="3"/>
      <c r="D144" s="3"/>
      <c r="E144" s="3"/>
      <c r="F144" s="3"/>
      <c r="G144" s="3"/>
      <c r="H144" s="3"/>
      <c r="I144" s="3"/>
      <c r="J144" s="3"/>
    </row>
    <row r="145" spans="1:10" ht="13.5" customHeight="1">
      <c r="A145" s="3"/>
      <c r="B145" s="3"/>
      <c r="C145" s="3"/>
      <c r="D145" s="3"/>
      <c r="E145" s="3"/>
      <c r="F145" s="3"/>
      <c r="G145" s="3"/>
      <c r="H145" s="3"/>
      <c r="I145" s="3"/>
      <c r="J145" s="3"/>
    </row>
    <row r="146" spans="1:10" ht="13.5" customHeight="1">
      <c r="A146" s="3"/>
      <c r="B146" s="3"/>
      <c r="C146" s="3"/>
      <c r="D146" s="3"/>
      <c r="E146" s="3"/>
      <c r="F146" s="3"/>
      <c r="G146" s="3"/>
      <c r="H146" s="3"/>
      <c r="I146" s="3"/>
      <c r="J146" s="3"/>
    </row>
    <row r="147" spans="1:10" ht="13.5" customHeight="1">
      <c r="A147" s="3"/>
      <c r="B147" s="3"/>
      <c r="C147" s="3"/>
      <c r="D147" s="3"/>
      <c r="E147" s="3"/>
      <c r="F147" s="3"/>
      <c r="G147" s="3"/>
      <c r="H147" s="3"/>
      <c r="I147" s="3"/>
      <c r="J147" s="3"/>
    </row>
    <row r="148" spans="1:10" ht="13.5" customHeight="1">
      <c r="A148" s="3"/>
      <c r="B148" s="3"/>
      <c r="C148" s="3"/>
      <c r="D148" s="3"/>
      <c r="E148" s="3"/>
      <c r="F148" s="3"/>
      <c r="G148" s="3"/>
      <c r="H148" s="3"/>
      <c r="I148" s="3"/>
      <c r="J148" s="3"/>
    </row>
    <row r="149" spans="1:10" ht="13.5" customHeight="1">
      <c r="A149" s="3"/>
      <c r="B149" s="3"/>
      <c r="C149" s="3"/>
      <c r="D149" s="3"/>
      <c r="E149" s="3"/>
      <c r="F149" s="3"/>
      <c r="G149" s="3"/>
      <c r="H149" s="3"/>
      <c r="I149" s="3"/>
      <c r="J149" s="3"/>
    </row>
    <row r="150" spans="1:10" ht="13.5" customHeight="1">
      <c r="A150" s="3"/>
      <c r="B150" s="3"/>
      <c r="C150" s="3"/>
      <c r="D150" s="3"/>
      <c r="E150" s="3"/>
      <c r="F150" s="3"/>
      <c r="G150" s="3"/>
      <c r="H150" s="3"/>
      <c r="I150" s="3"/>
      <c r="J150" s="3"/>
    </row>
    <row r="151" spans="1:10" ht="13.5" customHeight="1">
      <c r="A151" s="3"/>
      <c r="B151" s="3"/>
      <c r="C151" s="3"/>
      <c r="D151" s="3"/>
      <c r="E151" s="3"/>
      <c r="F151" s="3"/>
      <c r="G151" s="3"/>
      <c r="H151" s="3"/>
      <c r="I151" s="3"/>
      <c r="J151" s="3"/>
    </row>
    <row r="152" spans="1:10" ht="13.5" customHeight="1">
      <c r="A152" s="3"/>
      <c r="B152" s="3"/>
      <c r="C152" s="3"/>
      <c r="D152" s="3"/>
      <c r="E152" s="3"/>
      <c r="F152" s="3"/>
      <c r="G152" s="3"/>
      <c r="H152" s="3"/>
      <c r="I152" s="3"/>
      <c r="J152" s="3"/>
    </row>
    <row r="153" spans="1:10" ht="13.5" customHeight="1">
      <c r="A153" s="3"/>
      <c r="B153" s="3"/>
      <c r="C153" s="3"/>
      <c r="D153" s="3"/>
      <c r="E153" s="3"/>
      <c r="F153" s="3"/>
      <c r="G153" s="3"/>
      <c r="H153" s="3"/>
      <c r="I153" s="3"/>
      <c r="J153" s="3"/>
    </row>
    <row r="154" spans="1:10" ht="13.5" customHeight="1">
      <c r="A154" s="3"/>
      <c r="B154" s="3"/>
      <c r="C154" s="3"/>
      <c r="D154" s="3"/>
      <c r="E154" s="3"/>
      <c r="F154" s="3"/>
      <c r="G154" s="3"/>
      <c r="H154" s="3"/>
      <c r="I154" s="3"/>
      <c r="J154" s="3"/>
    </row>
    <row r="155" spans="1:10" ht="13.5" customHeight="1">
      <c r="A155" s="3"/>
      <c r="B155" s="3"/>
      <c r="C155" s="3"/>
      <c r="D155" s="3"/>
      <c r="E155" s="3"/>
      <c r="F155" s="3"/>
      <c r="G155" s="3"/>
      <c r="H155" s="3"/>
      <c r="I155" s="3"/>
      <c r="J155" s="3"/>
    </row>
    <row r="156" spans="1:10" ht="13.5" customHeight="1">
      <c r="A156" s="3"/>
      <c r="B156" s="3"/>
      <c r="C156" s="3"/>
      <c r="D156" s="3"/>
      <c r="E156" s="3"/>
      <c r="F156" s="3"/>
      <c r="G156" s="3"/>
      <c r="H156" s="3"/>
      <c r="I156" s="3"/>
      <c r="J156" s="3"/>
    </row>
    <row r="157" spans="1:10" ht="13.5" customHeight="1">
      <c r="A157" s="3"/>
      <c r="B157" s="3"/>
      <c r="C157" s="3"/>
      <c r="D157" s="3"/>
      <c r="E157" s="3"/>
      <c r="F157" s="3"/>
      <c r="G157" s="3"/>
      <c r="H157" s="3"/>
      <c r="I157" s="3"/>
      <c r="J157" s="3"/>
    </row>
    <row r="158" spans="1:10" ht="13.5" customHeight="1">
      <c r="A158" s="3"/>
      <c r="B158" s="3"/>
      <c r="C158" s="3"/>
      <c r="D158" s="3"/>
      <c r="E158" s="3"/>
      <c r="F158" s="3"/>
      <c r="G158" s="3"/>
      <c r="H158" s="3"/>
      <c r="I158" s="3"/>
      <c r="J158" s="3"/>
    </row>
    <row r="159" spans="1:10" ht="13.5" customHeight="1">
      <c r="A159" s="3"/>
      <c r="B159" s="3"/>
      <c r="C159" s="3"/>
      <c r="D159" s="3"/>
      <c r="E159" s="3"/>
      <c r="F159" s="3"/>
      <c r="G159" s="3"/>
      <c r="H159" s="3"/>
      <c r="I159" s="3"/>
      <c r="J159" s="3"/>
    </row>
    <row r="160" spans="1:10" ht="13.5" customHeight="1">
      <c r="A160" s="3"/>
      <c r="B160" s="3"/>
      <c r="C160" s="3"/>
      <c r="D160" s="3"/>
      <c r="E160" s="3"/>
      <c r="F160" s="3"/>
      <c r="G160" s="3"/>
      <c r="H160" s="3"/>
      <c r="I160" s="3"/>
      <c r="J160" s="3"/>
    </row>
    <row r="161" spans="1:10" ht="13.5" customHeight="1">
      <c r="A161" s="3"/>
      <c r="B161" s="3"/>
      <c r="C161" s="3"/>
      <c r="D161" s="3"/>
      <c r="E161" s="3"/>
      <c r="F161" s="3"/>
      <c r="G161" s="3"/>
      <c r="H161" s="3"/>
      <c r="I161" s="3"/>
      <c r="J161" s="3"/>
    </row>
    <row r="162" spans="1:10" ht="13.5" customHeight="1">
      <c r="A162" s="3"/>
      <c r="B162" s="3"/>
      <c r="C162" s="3"/>
      <c r="D162" s="3"/>
      <c r="E162" s="3"/>
      <c r="F162" s="3"/>
      <c r="G162" s="3"/>
      <c r="H162" s="3"/>
      <c r="I162" s="3"/>
      <c r="J162"/>
    </row>
    <row r="163" spans="1:10" ht="13.5" customHeight="1">
      <c r="A163" s="3"/>
      <c r="B163" s="3"/>
      <c r="C163" s="3"/>
      <c r="D163" s="3"/>
      <c r="E163" s="3"/>
      <c r="F163" s="3"/>
      <c r="G163" s="3"/>
      <c r="H163" s="3"/>
      <c r="I163" s="3"/>
      <c r="J163"/>
    </row>
    <row r="164" spans="1:10" ht="13.5" customHeight="1">
      <c r="A164" s="3"/>
      <c r="B164" s="3"/>
      <c r="C164" s="3"/>
      <c r="D164" s="3"/>
      <c r="E164" s="3"/>
      <c r="F164" s="3"/>
      <c r="G164" s="3"/>
      <c r="H164" s="3"/>
      <c r="I164" s="3"/>
      <c r="J164"/>
    </row>
    <row r="165" spans="1:10" ht="13.5" customHeight="1">
      <c r="A165" s="3"/>
      <c r="B165" s="3"/>
      <c r="C165" s="3"/>
      <c r="D165" s="3"/>
      <c r="E165" s="3"/>
      <c r="F165" s="3"/>
      <c r="G165" s="3"/>
      <c r="H165" s="3"/>
      <c r="I165" s="3"/>
      <c r="J165"/>
    </row>
    <row r="166" spans="1:10" ht="13.5" customHeight="1">
      <c r="A166" s="3"/>
      <c r="B166" s="3"/>
      <c r="C166" s="3"/>
      <c r="D166" s="3"/>
      <c r="E166" s="3"/>
      <c r="F166" s="3"/>
      <c r="G166" s="3"/>
      <c r="H166" s="3"/>
      <c r="I166" s="3"/>
      <c r="J166"/>
    </row>
    <row r="167" spans="1:10" ht="13.5" customHeight="1">
      <c r="A167" s="3"/>
      <c r="B167" s="3"/>
      <c r="C167" s="3"/>
      <c r="D167" s="3"/>
      <c r="E167" s="3"/>
      <c r="F167" s="3"/>
      <c r="G167" s="3"/>
      <c r="H167" s="3"/>
      <c r="I167" s="3"/>
      <c r="J167"/>
    </row>
    <row r="168" spans="1:10" ht="13.5" customHeight="1">
      <c r="A168" s="3"/>
      <c r="B168" s="3"/>
      <c r="C168" s="3"/>
      <c r="D168" s="3"/>
      <c r="E168" s="3"/>
      <c r="F168" s="3"/>
      <c r="G168" s="3"/>
      <c r="H168" s="3"/>
      <c r="I168" s="3"/>
      <c r="J168"/>
    </row>
    <row r="169" spans="1:10" ht="13.5" customHeight="1">
      <c r="A169" s="3"/>
      <c r="B169" s="3"/>
      <c r="C169" s="3"/>
      <c r="D169" s="3"/>
      <c r="E169" s="3"/>
      <c r="F169" s="3"/>
      <c r="G169" s="3"/>
      <c r="H169" s="3"/>
      <c r="I169" s="3"/>
    </row>
    <row r="170" spans="1:10" ht="13.5" customHeight="1">
      <c r="A170" s="3"/>
      <c r="B170" s="3"/>
      <c r="C170" s="3"/>
      <c r="D170" s="3"/>
      <c r="E170" s="3"/>
      <c r="F170" s="3"/>
      <c r="G170" s="3"/>
      <c r="H170" s="3"/>
      <c r="I170" s="3"/>
    </row>
    <row r="171" spans="1:10" ht="13.5" customHeight="1">
      <c r="A171" s="3"/>
      <c r="B171" s="3"/>
      <c r="C171" s="3"/>
      <c r="D171" s="3"/>
      <c r="E171" s="3"/>
      <c r="F171" s="3"/>
      <c r="G171" s="3"/>
      <c r="H171" s="3"/>
      <c r="I171" s="3"/>
    </row>
    <row r="172" spans="1:10" ht="13.5" customHeight="1">
      <c r="A172" s="3"/>
      <c r="B172" s="3"/>
      <c r="C172" s="3"/>
      <c r="D172" s="3"/>
      <c r="E172" s="3"/>
      <c r="F172" s="3"/>
      <c r="G172" s="3"/>
      <c r="H172" s="3"/>
      <c r="I172" s="3"/>
    </row>
    <row r="173" spans="1:10" ht="13.5" customHeight="1">
      <c r="A173" s="3"/>
      <c r="B173" s="32"/>
      <c r="C173" s="3"/>
      <c r="D173" s="3"/>
      <c r="E173" s="3"/>
      <c r="F173" s="3"/>
      <c r="G173" s="3"/>
      <c r="H173" s="3"/>
      <c r="I173" s="3"/>
    </row>
    <row r="174" spans="1:10" ht="13.5" customHeight="1">
      <c r="A174" s="3"/>
      <c r="B174" s="32"/>
      <c r="C174" s="3"/>
      <c r="D174" s="3"/>
      <c r="E174" s="3"/>
      <c r="F174" s="3"/>
      <c r="G174" s="3"/>
      <c r="H174" s="3"/>
      <c r="I174" s="3"/>
    </row>
    <row r="175" spans="1:10" ht="13.5" customHeight="1">
      <c r="B175" s="32"/>
      <c r="C175" s="3"/>
      <c r="D175" s="3"/>
      <c r="E175" s="3"/>
      <c r="F175" s="3"/>
      <c r="G175" s="3"/>
      <c r="H175" s="3"/>
      <c r="I175" s="3"/>
    </row>
    <row r="176" spans="1:10" ht="13.5" customHeight="1">
      <c r="B176" s="32"/>
      <c r="C176" s="3"/>
      <c r="D176" s="3"/>
      <c r="E176" s="3"/>
      <c r="F176" s="3"/>
      <c r="G176" s="3"/>
      <c r="H176" s="3"/>
      <c r="I176" s="3"/>
    </row>
    <row r="177" spans="2:9" ht="13.5" customHeight="1">
      <c r="B177" s="32"/>
      <c r="C177" s="3"/>
      <c r="D177" s="3"/>
      <c r="E177" s="3"/>
      <c r="F177" s="3"/>
      <c r="G177" s="3"/>
      <c r="H177" s="3"/>
      <c r="I177" s="3"/>
    </row>
    <row r="178" spans="2:9" ht="13.5" customHeight="1">
      <c r="B178" s="32"/>
      <c r="C178" s="3"/>
      <c r="D178" s="3"/>
      <c r="E178" s="3"/>
      <c r="F178" s="3"/>
      <c r="G178" s="3"/>
      <c r="H178" s="3"/>
      <c r="I178" s="3"/>
    </row>
    <row r="179" spans="2:9" ht="13.5" customHeight="1">
      <c r="B179" s="32"/>
      <c r="C179" s="3"/>
      <c r="D179" s="3"/>
      <c r="E179" s="3"/>
      <c r="F179" s="3"/>
      <c r="G179" s="3"/>
      <c r="H179" s="3"/>
      <c r="I179" s="3"/>
    </row>
    <row r="180" spans="2:9" ht="13.5" customHeight="1">
      <c r="B180" s="32"/>
      <c r="C180" s="3"/>
      <c r="D180" s="3"/>
      <c r="E180" s="3"/>
      <c r="F180" s="3"/>
      <c r="G180" s="3"/>
      <c r="H180" s="3"/>
      <c r="I180" s="3"/>
    </row>
  </sheetData>
  <sheetProtection formatCells="0"/>
  <mergeCells count="30">
    <mergeCell ref="M12:M14"/>
    <mergeCell ref="N12:N14"/>
    <mergeCell ref="G48:G49"/>
    <mergeCell ref="B48:B49"/>
    <mergeCell ref="C48:C49"/>
    <mergeCell ref="D48:D49"/>
    <mergeCell ref="E48:E49"/>
    <mergeCell ref="F48:F49"/>
    <mergeCell ref="H48:H49"/>
    <mergeCell ref="B34:B35"/>
    <mergeCell ref="C34:C35"/>
    <mergeCell ref="D34:D35"/>
    <mergeCell ref="E34:E35"/>
    <mergeCell ref="F34:F35"/>
    <mergeCell ref="T12:T14"/>
    <mergeCell ref="U12:U14"/>
    <mergeCell ref="V12:V14"/>
    <mergeCell ref="D4:E4"/>
    <mergeCell ref="M4:N4"/>
    <mergeCell ref="Q4:R4"/>
    <mergeCell ref="J8:K8"/>
    <mergeCell ref="P4:P5"/>
    <mergeCell ref="O12:O14"/>
    <mergeCell ref="P12:P14"/>
    <mergeCell ref="Q12:Q14"/>
    <mergeCell ref="R12:R14"/>
    <mergeCell ref="S12:S14"/>
    <mergeCell ref="J12:J14"/>
    <mergeCell ref="K12:K14"/>
    <mergeCell ref="L12:L14"/>
  </mergeCells>
  <phoneticPr fontId="2"/>
  <dataValidations count="1">
    <dataValidation imeMode="off" allowBlank="1" showInputMessage="1" showErrorMessage="1" sqref="D50:E62" xr:uid="{00000000-0002-0000-0200-000000000000}"/>
  </dataValidations>
  <pageMargins left="0.75" right="0.75" top="1" bottom="1" header="0.51200000000000001" footer="0.51200000000000001"/>
  <pageSetup paperSize="8"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6W費用試算</vt:lpstr>
      <vt:lpstr>J6W費用試算 (オリジナル)</vt:lpstr>
      <vt:lpstr>6W月別受入費明細</vt:lpstr>
      <vt:lpstr>試算表のみかた</vt:lpstr>
      <vt:lpstr>通知書の見方</vt:lpstr>
      <vt:lpstr>6W計算シート</vt:lpstr>
      <vt:lpstr>【海外旅行保険】</vt:lpstr>
      <vt:lpstr>【月別標準日数】</vt:lpstr>
      <vt:lpstr>【研修申込区分】</vt:lpstr>
      <vt:lpstr>【研修申込区分別費用】</vt:lpstr>
      <vt:lpstr>【研修日数】</vt:lpstr>
      <vt:lpstr>【研修旅行】</vt:lpstr>
      <vt:lpstr>【雑費】</vt:lpstr>
      <vt:lpstr>【実地研修中の宿泊】</vt:lpstr>
      <vt:lpstr>【宿舎費_会社施設】</vt:lpstr>
      <vt:lpstr>【宿舎費_外部宿舎】</vt:lpstr>
      <vt:lpstr>【宿舎費_研修センター】</vt:lpstr>
      <vt:lpstr>【宿舎費_研修旅行中】</vt:lpstr>
      <vt:lpstr>【食費_昼食】</vt:lpstr>
      <vt:lpstr>【食費_朝食】</vt:lpstr>
      <vt:lpstr>【食費_夕食】</vt:lpstr>
      <vt:lpstr>【日程表】</vt:lpstr>
      <vt:lpstr>【日程表項番】</vt:lpstr>
      <vt:lpstr>'6W月別受入費明細'!Print_Area</vt:lpstr>
      <vt:lpstr>'6W費用試算'!Print_Area</vt:lpstr>
      <vt:lpstr>試算表のみかた!Print_Area</vt:lpstr>
      <vt:lpstr>通知書の見方!Print_Area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2023-02-01T01:26:58Z</cp:lastPrinted>
  <dcterms:created xsi:type="dcterms:W3CDTF">2003-03-31T05:39:15Z</dcterms:created>
  <dcterms:modified xsi:type="dcterms:W3CDTF">2026-08-14T07:51:58Z</dcterms:modified>
</cp:coreProperties>
</file>