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codeName="ThisWorkbook"/>
  <xr:revisionPtr revIDLastSave="0" documentId="13_ncr:1_{850DFE91-2FC3-426A-8A26-29FF96DA42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コース不参加費用試算" sheetId="2" r:id="rId1"/>
    <sheet name="コース不参加月別受入費明細" sheetId="8" r:id="rId2"/>
    <sheet name="計算シート" sheetId="7" state="hidden" r:id="rId3"/>
  </sheets>
  <definedNames>
    <definedName name="【海外旅行保険】">計算シート!$S$34:$U$74</definedName>
    <definedName name="【月別標準日数】">計算シート!$K$32:$M$43</definedName>
    <definedName name="【研修申込区分】">計算シート!$B$33</definedName>
    <definedName name="【研修申込区分別費用】">計算シート!$B$34:$I$43</definedName>
    <definedName name="【研修日数】">計算シート!$N$15:$W$27</definedName>
    <definedName name="【研修旅行】">計算シート!$L$48:$M$49</definedName>
    <definedName name="【国内移動費】">計算シート!$K$5:$M$7</definedName>
    <definedName name="【雑費】">計算シート!$D$20</definedName>
    <definedName name="【実地研修中の宿泊】">計算シート!$B$24</definedName>
    <definedName name="【宿舎費_会社施設】">計算シート!$D$27</definedName>
    <definedName name="【宿舎費_外部宿舎】">計算シート!$D$28</definedName>
    <definedName name="【宿舎費_研修センター】">計算シート!$D$26</definedName>
    <definedName name="【宿舎費_研修旅行中】">計算シート!$D$29</definedName>
    <definedName name="【食費_昼食】">計算シート!$D$18</definedName>
    <definedName name="【食費_朝食】">計算シート!$D$17</definedName>
    <definedName name="【食費_夕食】">計算シート!$D$19</definedName>
    <definedName name="【日程表】">計算シート!$B$50:$G$60</definedName>
    <definedName name="【日程表項番】">計算シート!$B$47</definedName>
    <definedName name="_xlnm.Print_Area" localSheetId="1">コース不参加月別受入費明細!$A$1:$AF$51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7" l="1"/>
  <c r="E42" i="7"/>
  <c r="E41" i="7"/>
  <c r="E40" i="7"/>
  <c r="E39" i="7"/>
  <c r="E38" i="7"/>
  <c r="E37" i="7"/>
  <c r="E36" i="7"/>
  <c r="L26" i="2"/>
  <c r="H43" i="7"/>
  <c r="F11" i="2"/>
  <c r="H42" i="7" l="1"/>
  <c r="H41" i="7"/>
  <c r="H40" i="7"/>
  <c r="H39" i="7"/>
  <c r="H38" i="7"/>
  <c r="H37" i="7"/>
  <c r="H36" i="7"/>
  <c r="G3" i="2" l="1"/>
  <c r="E43" i="8" l="1"/>
  <c r="AF43" i="8" s="1"/>
  <c r="G43" i="8"/>
  <c r="J46" i="2"/>
  <c r="O3" i="2" l="1"/>
  <c r="J33" i="2" l="1"/>
  <c r="G46" i="8" s="1"/>
  <c r="B46" i="8" l="1"/>
  <c r="L33" i="2"/>
  <c r="G33" i="2"/>
  <c r="F9" i="2"/>
  <c r="C5" i="7" s="1"/>
  <c r="K34" i="2" l="1"/>
  <c r="K36" i="2"/>
  <c r="K61" i="2" s="1"/>
  <c r="E46" i="8"/>
  <c r="E22" i="8"/>
  <c r="G22" i="8"/>
  <c r="C14" i="7" l="1"/>
  <c r="C12" i="7"/>
  <c r="G41" i="8" s="1"/>
  <c r="F41" i="8" s="1"/>
  <c r="H4" i="8"/>
  <c r="U32" i="7" l="1"/>
  <c r="T32" i="7"/>
  <c r="C13" i="7"/>
  <c r="H41" i="8" s="1"/>
  <c r="K32" i="2"/>
  <c r="K35" i="2"/>
  <c r="K37" i="2"/>
  <c r="F1" i="8"/>
  <c r="F3" i="8"/>
  <c r="S43" i="2"/>
  <c r="AA51" i="2" s="1"/>
  <c r="S70" i="7" l="1"/>
  <c r="S63" i="7"/>
  <c r="S67" i="7"/>
  <c r="S71" i="7"/>
  <c r="S64" i="7"/>
  <c r="S68" i="7"/>
  <c r="S65" i="7"/>
  <c r="S69" i="7"/>
  <c r="S62" i="7"/>
  <c r="S66" i="7"/>
  <c r="D18" i="8"/>
  <c r="E16" i="8"/>
  <c r="L46" i="2"/>
  <c r="S35" i="2"/>
  <c r="J35" i="2"/>
  <c r="J34" i="2"/>
  <c r="G34" i="2"/>
  <c r="N25" i="2"/>
  <c r="M26" i="2" s="1"/>
  <c r="O17" i="2"/>
  <c r="L38" i="2" s="1"/>
  <c r="O11" i="2"/>
  <c r="J32" i="2" s="1"/>
  <c r="L11" i="2"/>
  <c r="Y6" i="2"/>
  <c r="E26" i="8" l="1"/>
  <c r="E44" i="8"/>
  <c r="M33" i="2"/>
  <c r="B47" i="8"/>
  <c r="AB40" i="2"/>
  <c r="J62" i="2"/>
  <c r="E20" i="8"/>
  <c r="G20" i="8" s="1"/>
  <c r="S44" i="2"/>
  <c r="AA52" i="2" s="1"/>
  <c r="E29" i="8"/>
  <c r="G29" i="8" s="1"/>
  <c r="AF29" i="8" s="1"/>
  <c r="AF13" i="8"/>
  <c r="L35" i="2"/>
  <c r="W38" i="2" s="1"/>
  <c r="AB38" i="2" s="1"/>
  <c r="W35" i="2"/>
  <c r="AB35" i="2" s="1"/>
  <c r="M38" i="2"/>
  <c r="W40" i="2"/>
  <c r="M5" i="7"/>
  <c r="M35" i="2" l="1"/>
  <c r="Y14" i="2"/>
  <c r="E48" i="8"/>
  <c r="E24" i="8"/>
  <c r="E13" i="8"/>
  <c r="Y7" i="2"/>
  <c r="Y8" i="2" s="1"/>
  <c r="D28" i="8" l="1"/>
  <c r="S41" i="2" l="1"/>
  <c r="AA49" i="2" s="1"/>
  <c r="P25" i="2"/>
  <c r="O26" i="2" s="1"/>
  <c r="J37" i="2"/>
  <c r="O38" i="2" l="1"/>
  <c r="O33" i="2"/>
  <c r="O35" i="2"/>
  <c r="C6" i="7" l="1"/>
  <c r="M6" i="7"/>
  <c r="S74" i="7" l="1"/>
  <c r="S72" i="7"/>
  <c r="S59" i="7"/>
  <c r="S57" i="7"/>
  <c r="S55" i="7"/>
  <c r="S53" i="7"/>
  <c r="S51" i="7"/>
  <c r="S49" i="7"/>
  <c r="S47" i="7"/>
  <c r="S45" i="7"/>
  <c r="S43" i="7"/>
  <c r="S41" i="7"/>
  <c r="S39" i="7"/>
  <c r="S37" i="7"/>
  <c r="S35" i="7"/>
  <c r="S73" i="7"/>
  <c r="S60" i="7"/>
  <c r="S58" i="7"/>
  <c r="S56" i="7"/>
  <c r="S54" i="7"/>
  <c r="S52" i="7"/>
  <c r="S50" i="7"/>
  <c r="S48" i="7"/>
  <c r="S46" i="7"/>
  <c r="S44" i="7"/>
  <c r="S42" i="7"/>
  <c r="S40" i="7"/>
  <c r="S38" i="7"/>
  <c r="S36" i="7"/>
  <c r="S34" i="7"/>
  <c r="S61" i="7"/>
  <c r="K48" i="7"/>
  <c r="D11" i="7"/>
  <c r="B48" i="8"/>
  <c r="L15" i="7"/>
  <c r="M15" i="7"/>
  <c r="E5" i="7"/>
  <c r="L36" i="2" l="1"/>
  <c r="K49" i="7"/>
  <c r="M48" i="7"/>
  <c r="B25" i="8"/>
  <c r="L37" i="2"/>
  <c r="M8" i="7"/>
  <c r="O15" i="7"/>
  <c r="P15" i="7" s="1"/>
  <c r="Q15" i="7" s="1"/>
  <c r="R15" i="7" s="1"/>
  <c r="T15" i="7" s="1"/>
  <c r="L16" i="7"/>
  <c r="M16" i="7"/>
  <c r="N15" i="7"/>
  <c r="L61" i="2" l="1"/>
  <c r="W32" i="2" s="1"/>
  <c r="M36" i="2"/>
  <c r="O36" i="2"/>
  <c r="M49" i="7"/>
  <c r="L49" i="7"/>
  <c r="L32" i="2"/>
  <c r="K62" i="2"/>
  <c r="L62" i="2" s="1"/>
  <c r="L34" i="2"/>
  <c r="E25" i="8"/>
  <c r="W39" i="2"/>
  <c r="AB39" i="2" s="1"/>
  <c r="O37" i="2"/>
  <c r="M37" i="2"/>
  <c r="Y17" i="2"/>
  <c r="E14" i="7"/>
  <c r="L5" i="7"/>
  <c r="S15" i="7"/>
  <c r="U15" i="7"/>
  <c r="O16" i="7"/>
  <c r="P16" i="7" s="1"/>
  <c r="Q16" i="7" s="1"/>
  <c r="R16" i="7" s="1"/>
  <c r="L17" i="7"/>
  <c r="M17" i="7"/>
  <c r="L48" i="7" s="1"/>
  <c r="N16" i="7"/>
  <c r="L39" i="2" l="1"/>
  <c r="E17" i="8"/>
  <c r="K5" i="7"/>
  <c r="W37" i="2"/>
  <c r="AB37" i="2" s="1"/>
  <c r="E47" i="8"/>
  <c r="Y13" i="2"/>
  <c r="Y15" i="2" s="1"/>
  <c r="Y10" i="2"/>
  <c r="Y11" i="2" s="1"/>
  <c r="E45" i="8"/>
  <c r="Y18" i="2"/>
  <c r="Y19" i="2" s="1"/>
  <c r="W36" i="2"/>
  <c r="F10" i="8"/>
  <c r="O34" i="2"/>
  <c r="M34" i="2"/>
  <c r="E23" i="8"/>
  <c r="E18" i="8"/>
  <c r="E21" i="8" s="1"/>
  <c r="O32" i="2"/>
  <c r="M32" i="2"/>
  <c r="S16" i="7"/>
  <c r="T16" i="7"/>
  <c r="O17" i="7"/>
  <c r="P17" i="7" s="1"/>
  <c r="Q17" i="7" s="1"/>
  <c r="R17" i="7" s="1"/>
  <c r="L18" i="7"/>
  <c r="M18" i="7"/>
  <c r="N17" i="7"/>
  <c r="F8" i="8"/>
  <c r="W15" i="7"/>
  <c r="M39" i="2" l="1"/>
  <c r="O39" i="2"/>
  <c r="E49" i="8"/>
  <c r="U16" i="7"/>
  <c r="H10" i="8" s="1"/>
  <c r="AB36" i="2"/>
  <c r="AB41" i="2" s="1"/>
  <c r="W41" i="2"/>
  <c r="E27" i="8"/>
  <c r="F9" i="8"/>
  <c r="F7" i="8"/>
  <c r="F24" i="8"/>
  <c r="G24" i="8" s="1"/>
  <c r="S17" i="7"/>
  <c r="T17" i="7"/>
  <c r="O18" i="7"/>
  <c r="P18" i="7" s="1"/>
  <c r="Q18" i="7" s="1"/>
  <c r="R18" i="7" s="1"/>
  <c r="L19" i="7"/>
  <c r="M19" i="7"/>
  <c r="N18" i="7"/>
  <c r="V16" i="7" l="1"/>
  <c r="H8" i="8" s="1"/>
  <c r="U17" i="7"/>
  <c r="J10" i="8" s="1"/>
  <c r="F21" i="8"/>
  <c r="G21" i="8" s="1"/>
  <c r="F23" i="8"/>
  <c r="G23" i="8" s="1"/>
  <c r="F6" i="8"/>
  <c r="F18" i="8"/>
  <c r="G18" i="8" s="1"/>
  <c r="F25" i="8"/>
  <c r="G25" i="8" s="1"/>
  <c r="H7" i="8"/>
  <c r="H6" i="8" s="1"/>
  <c r="H24" i="8"/>
  <c r="I24" i="8" s="1"/>
  <c r="S18" i="7"/>
  <c r="T18" i="7"/>
  <c r="O19" i="7"/>
  <c r="P19" i="7" s="1"/>
  <c r="Q19" i="7" s="1"/>
  <c r="R19" i="7" s="1"/>
  <c r="L20" i="7"/>
  <c r="M20" i="7"/>
  <c r="N19" i="7"/>
  <c r="V17" i="7" l="1"/>
  <c r="W17" i="7" s="1"/>
  <c r="J9" i="8" s="1"/>
  <c r="J18" i="8" s="1"/>
  <c r="K18" i="8" s="1"/>
  <c r="W16" i="7"/>
  <c r="H9" i="8" s="1"/>
  <c r="H23" i="8" s="1"/>
  <c r="I23" i="8" s="1"/>
  <c r="U18" i="7"/>
  <c r="L10" i="8" s="1"/>
  <c r="I14" i="8"/>
  <c r="I15" i="8"/>
  <c r="I16" i="8"/>
  <c r="J7" i="8"/>
  <c r="J6" i="8" s="1"/>
  <c r="J24" i="8"/>
  <c r="K24" i="8" s="1"/>
  <c r="S19" i="7"/>
  <c r="T19" i="7"/>
  <c r="O20" i="7"/>
  <c r="P20" i="7" s="1"/>
  <c r="Q20" i="7" s="1"/>
  <c r="R20" i="7" s="1"/>
  <c r="L21" i="7"/>
  <c r="M21" i="7"/>
  <c r="N20" i="7"/>
  <c r="V18" i="7" l="1"/>
  <c r="L8" i="8" s="1"/>
  <c r="J8" i="8"/>
  <c r="H21" i="8"/>
  <c r="I21" i="8" s="1"/>
  <c r="H18" i="8"/>
  <c r="I18" i="8" s="1"/>
  <c r="H25" i="8"/>
  <c r="I25" i="8" s="1"/>
  <c r="U19" i="7"/>
  <c r="N10" i="8" s="1"/>
  <c r="J15" i="8"/>
  <c r="K15" i="8" s="1"/>
  <c r="J25" i="8"/>
  <c r="K25" i="8" s="1"/>
  <c r="J21" i="8"/>
  <c r="K21" i="8" s="1"/>
  <c r="J23" i="8"/>
  <c r="K23" i="8" s="1"/>
  <c r="L7" i="8"/>
  <c r="L6" i="8" s="1"/>
  <c r="L24" i="8"/>
  <c r="M24" i="8" s="1"/>
  <c r="S20" i="7"/>
  <c r="T20" i="7"/>
  <c r="O21" i="7"/>
  <c r="P21" i="7" s="1"/>
  <c r="Q21" i="7" s="1"/>
  <c r="R21" i="7" s="1"/>
  <c r="L22" i="7"/>
  <c r="M22" i="7"/>
  <c r="N21" i="7"/>
  <c r="W18" i="7" l="1"/>
  <c r="L9" i="8" s="1"/>
  <c r="L18" i="8" s="1"/>
  <c r="M18" i="8" s="1"/>
  <c r="V19" i="7"/>
  <c r="W19" i="7" s="1"/>
  <c r="N9" i="8" s="1"/>
  <c r="N18" i="8" s="1"/>
  <c r="O18" i="8" s="1"/>
  <c r="U20" i="7"/>
  <c r="P10" i="8" s="1"/>
  <c r="J16" i="8"/>
  <c r="K16" i="8" s="1"/>
  <c r="J14" i="8"/>
  <c r="K14" i="8" s="1"/>
  <c r="L15" i="8"/>
  <c r="L14" i="8" s="1"/>
  <c r="M14" i="8" s="1"/>
  <c r="N7" i="8"/>
  <c r="N6" i="8" s="1"/>
  <c r="N24" i="8"/>
  <c r="O24" i="8" s="1"/>
  <c r="S21" i="7"/>
  <c r="T21" i="7"/>
  <c r="O22" i="7"/>
  <c r="P22" i="7" s="1"/>
  <c r="Q22" i="7" s="1"/>
  <c r="R22" i="7" s="1"/>
  <c r="L23" i="7"/>
  <c r="M23" i="7"/>
  <c r="N22" i="7"/>
  <c r="L21" i="8" l="1"/>
  <c r="M21" i="8" s="1"/>
  <c r="L23" i="8"/>
  <c r="M23" i="8" s="1"/>
  <c r="L25" i="8"/>
  <c r="M25" i="8" s="1"/>
  <c r="N25" i="8"/>
  <c r="O25" i="8" s="1"/>
  <c r="N23" i="8"/>
  <c r="O23" i="8" s="1"/>
  <c r="U21" i="7"/>
  <c r="R10" i="8" s="1"/>
  <c r="V20" i="7"/>
  <c r="P8" i="8" s="1"/>
  <c r="N8" i="8"/>
  <c r="N21" i="8"/>
  <c r="O21" i="8" s="1"/>
  <c r="L16" i="8"/>
  <c r="M16" i="8" s="1"/>
  <c r="M15" i="8"/>
  <c r="N15" i="8"/>
  <c r="O15" i="8" s="1"/>
  <c r="P7" i="8"/>
  <c r="P6" i="8" s="1"/>
  <c r="P24" i="8"/>
  <c r="Q24" i="8" s="1"/>
  <c r="S22" i="7"/>
  <c r="T22" i="7"/>
  <c r="O23" i="7"/>
  <c r="P23" i="7" s="1"/>
  <c r="Q23" i="7" s="1"/>
  <c r="R23" i="7" s="1"/>
  <c r="L24" i="7"/>
  <c r="M24" i="7"/>
  <c r="N23" i="7"/>
  <c r="W20" i="7" l="1"/>
  <c r="P9" i="8" s="1"/>
  <c r="P18" i="8" s="1"/>
  <c r="Q18" i="8" s="1"/>
  <c r="V21" i="7"/>
  <c r="W21" i="7" s="1"/>
  <c r="R9" i="8" s="1"/>
  <c r="R18" i="8" s="1"/>
  <c r="S18" i="8" s="1"/>
  <c r="U22" i="7"/>
  <c r="T10" i="8" s="1"/>
  <c r="N16" i="8"/>
  <c r="O16" i="8" s="1"/>
  <c r="N14" i="8"/>
  <c r="O14" i="8" s="1"/>
  <c r="P15" i="8"/>
  <c r="Q15" i="8" s="1"/>
  <c r="R7" i="8"/>
  <c r="R6" i="8" s="1"/>
  <c r="R24" i="8"/>
  <c r="S24" i="8" s="1"/>
  <c r="S23" i="7"/>
  <c r="T23" i="7"/>
  <c r="O24" i="7"/>
  <c r="P24" i="7" s="1"/>
  <c r="Q24" i="7" s="1"/>
  <c r="R24" i="7" s="1"/>
  <c r="L25" i="7"/>
  <c r="M25" i="7"/>
  <c r="N24" i="7"/>
  <c r="R25" i="8" l="1"/>
  <c r="S25" i="8" s="1"/>
  <c r="R8" i="8"/>
  <c r="R23" i="8"/>
  <c r="S23" i="8" s="1"/>
  <c r="V22" i="7"/>
  <c r="T8" i="8" s="1"/>
  <c r="P23" i="8"/>
  <c r="Q23" i="8" s="1"/>
  <c r="P21" i="8"/>
  <c r="Q21" i="8" s="1"/>
  <c r="P25" i="8"/>
  <c r="Q25" i="8" s="1"/>
  <c r="R21" i="8"/>
  <c r="S21" i="8" s="1"/>
  <c r="U23" i="7"/>
  <c r="V10" i="8" s="1"/>
  <c r="P14" i="8"/>
  <c r="Q14" i="8" s="1"/>
  <c r="P16" i="8"/>
  <c r="Q16" i="8" s="1"/>
  <c r="R15" i="8"/>
  <c r="S15" i="8" s="1"/>
  <c r="T7" i="8"/>
  <c r="T6" i="8" s="1"/>
  <c r="T24" i="8"/>
  <c r="U24" i="8" s="1"/>
  <c r="S24" i="7"/>
  <c r="T24" i="7"/>
  <c r="O25" i="7"/>
  <c r="P25" i="7" s="1"/>
  <c r="Q25" i="7" s="1"/>
  <c r="R25" i="7" s="1"/>
  <c r="L26" i="7"/>
  <c r="M26" i="7"/>
  <c r="N25" i="7"/>
  <c r="W22" i="7" l="1"/>
  <c r="T9" i="8" s="1"/>
  <c r="T18" i="8" s="1"/>
  <c r="U18" i="8" s="1"/>
  <c r="V23" i="7"/>
  <c r="W23" i="7" s="1"/>
  <c r="V9" i="8" s="1"/>
  <c r="V18" i="8" s="1"/>
  <c r="W18" i="8" s="1"/>
  <c r="U24" i="7"/>
  <c r="X10" i="8" s="1"/>
  <c r="R14" i="8"/>
  <c r="S14" i="8" s="1"/>
  <c r="R16" i="8"/>
  <c r="S16" i="8" s="1"/>
  <c r="T15" i="8"/>
  <c r="U15" i="8" s="1"/>
  <c r="V7" i="8"/>
  <c r="V6" i="8" s="1"/>
  <c r="V24" i="8"/>
  <c r="W24" i="8" s="1"/>
  <c r="S25" i="7"/>
  <c r="T25" i="7"/>
  <c r="O26" i="7"/>
  <c r="P26" i="7" s="1"/>
  <c r="Q26" i="7" s="1"/>
  <c r="R26" i="7" s="1"/>
  <c r="L27" i="7"/>
  <c r="M27" i="7"/>
  <c r="O27" i="7" s="1"/>
  <c r="N26" i="7"/>
  <c r="T21" i="8" l="1"/>
  <c r="U21" i="8" s="1"/>
  <c r="T25" i="8"/>
  <c r="U25" i="8" s="1"/>
  <c r="U25" i="7"/>
  <c r="Z10" i="8" s="1"/>
  <c r="T23" i="8"/>
  <c r="U23" i="8" s="1"/>
  <c r="V21" i="8"/>
  <c r="W21" i="8" s="1"/>
  <c r="V25" i="8"/>
  <c r="W25" i="8" s="1"/>
  <c r="V24" i="7"/>
  <c r="X8" i="8" s="1"/>
  <c r="V23" i="8"/>
  <c r="W23" i="8" s="1"/>
  <c r="V8" i="8"/>
  <c r="T14" i="8"/>
  <c r="U14" i="8" s="1"/>
  <c r="T16" i="8"/>
  <c r="U16" i="8" s="1"/>
  <c r="V15" i="8"/>
  <c r="W15" i="8" s="1"/>
  <c r="X7" i="8"/>
  <c r="X6" i="8" s="1"/>
  <c r="X24" i="8"/>
  <c r="Y24" i="8" s="1"/>
  <c r="S26" i="7"/>
  <c r="T26" i="7"/>
  <c r="P27" i="7"/>
  <c r="Q27" i="7" s="1"/>
  <c r="R27" i="7" s="1"/>
  <c r="N27" i="7"/>
  <c r="W24" i="7" l="1"/>
  <c r="X9" i="8" s="1"/>
  <c r="X18" i="8" s="1"/>
  <c r="Y18" i="8" s="1"/>
  <c r="V25" i="7"/>
  <c r="Z8" i="8" s="1"/>
  <c r="U26" i="7"/>
  <c r="AB10" i="8" s="1"/>
  <c r="V14" i="8"/>
  <c r="W14" i="8" s="1"/>
  <c r="V16" i="8"/>
  <c r="W16" i="8" s="1"/>
  <c r="X15" i="8"/>
  <c r="Y15" i="8" s="1"/>
  <c r="Z7" i="8"/>
  <c r="Z6" i="8" s="1"/>
  <c r="Z24" i="8"/>
  <c r="AA24" i="8" s="1"/>
  <c r="S27" i="7"/>
  <c r="T27" i="7"/>
  <c r="U27" i="7" l="1"/>
  <c r="U28" i="7" s="1"/>
  <c r="X25" i="8"/>
  <c r="Y25" i="8" s="1"/>
  <c r="X23" i="8"/>
  <c r="Y23" i="8" s="1"/>
  <c r="X21" i="8"/>
  <c r="Y21" i="8" s="1"/>
  <c r="W25" i="7"/>
  <c r="Z9" i="8" s="1"/>
  <c r="Z18" i="8" s="1"/>
  <c r="AA18" i="8" s="1"/>
  <c r="V26" i="7"/>
  <c r="AB8" i="8" s="1"/>
  <c r="X14" i="8"/>
  <c r="Y14" i="8" s="1"/>
  <c r="X16" i="8"/>
  <c r="Y16" i="8" s="1"/>
  <c r="Z15" i="8"/>
  <c r="AA15" i="8" s="1"/>
  <c r="AB7" i="8"/>
  <c r="AB6" i="8" s="1"/>
  <c r="AB24" i="8"/>
  <c r="AC24" i="8" s="1"/>
  <c r="AD10" i="8" l="1"/>
  <c r="AD7" i="8" s="1"/>
  <c r="AD6" i="8" s="1"/>
  <c r="Z23" i="8"/>
  <c r="AA23" i="8" s="1"/>
  <c r="V27" i="7"/>
  <c r="W27" i="7" s="1"/>
  <c r="F48" i="8" s="1"/>
  <c r="G48" i="8" s="1"/>
  <c r="Z25" i="8"/>
  <c r="AA25" i="8" s="1"/>
  <c r="W26" i="7"/>
  <c r="AB9" i="8" s="1"/>
  <c r="AB18" i="8" s="1"/>
  <c r="AC18" i="8" s="1"/>
  <c r="Z21" i="8"/>
  <c r="AA21" i="8" s="1"/>
  <c r="Z14" i="8"/>
  <c r="AA14" i="8" s="1"/>
  <c r="Z16" i="8"/>
  <c r="AA16" i="8" s="1"/>
  <c r="AB15" i="8"/>
  <c r="AC15" i="8" s="1"/>
  <c r="AD24" i="8"/>
  <c r="AE24" i="8" s="1"/>
  <c r="AF10" i="8"/>
  <c r="L6" i="7" l="1"/>
  <c r="F47" i="8"/>
  <c r="G47" i="8" s="1"/>
  <c r="F45" i="8"/>
  <c r="G45" i="8" s="1"/>
  <c r="AB23" i="8"/>
  <c r="AC23" i="8" s="1"/>
  <c r="AB21" i="8"/>
  <c r="AC21" i="8" s="1"/>
  <c r="AD8" i="8"/>
  <c r="AF8" i="8" s="1"/>
  <c r="V28" i="7"/>
  <c r="AD9" i="8"/>
  <c r="AD18" i="8" s="1"/>
  <c r="AE18" i="8" s="1"/>
  <c r="W28" i="7"/>
  <c r="AB25" i="8"/>
  <c r="AC25" i="8" s="1"/>
  <c r="G17" i="8"/>
  <c r="I17" i="8"/>
  <c r="K17" i="8"/>
  <c r="M17" i="8"/>
  <c r="O17" i="8"/>
  <c r="O19" i="8" s="1"/>
  <c r="Q17" i="8"/>
  <c r="Q19" i="8" s="1"/>
  <c r="S17" i="8"/>
  <c r="S19" i="8" s="1"/>
  <c r="U17" i="8"/>
  <c r="U19" i="8" s="1"/>
  <c r="W17" i="8"/>
  <c r="W19" i="8" s="1"/>
  <c r="Y17" i="8"/>
  <c r="Y19" i="8" s="1"/>
  <c r="AA17" i="8"/>
  <c r="AA19" i="8" s="1"/>
  <c r="AC17" i="8"/>
  <c r="AE17" i="8"/>
  <c r="AB14" i="8"/>
  <c r="AC14" i="8" s="1"/>
  <c r="AB16" i="8"/>
  <c r="AC16" i="8" s="1"/>
  <c r="AD15" i="8"/>
  <c r="AE15" i="8" s="1"/>
  <c r="K6" i="7" l="1"/>
  <c r="G44" i="8"/>
  <c r="G49" i="8" s="1"/>
  <c r="AF9" i="8"/>
  <c r="AD23" i="8"/>
  <c r="AE23" i="8" s="1"/>
  <c r="AD21" i="8"/>
  <c r="AE21" i="8" s="1"/>
  <c r="AD25" i="8"/>
  <c r="AE25" i="8" s="1"/>
  <c r="H47" i="8"/>
  <c r="I47" i="8" s="1"/>
  <c r="I44" i="8"/>
  <c r="AC19" i="8"/>
  <c r="AD14" i="8"/>
  <c r="AE14" i="8" s="1"/>
  <c r="AD16" i="8"/>
  <c r="AE16" i="8" s="1"/>
  <c r="H45" i="8"/>
  <c r="I45" i="8" s="1"/>
  <c r="H48" i="8"/>
  <c r="I48" i="8" s="1"/>
  <c r="AC26" i="8" l="1"/>
  <c r="AC27" i="8" s="1"/>
  <c r="AC28" i="8" s="1"/>
  <c r="AC30" i="8" s="1"/>
  <c r="AB31" i="8" s="1"/>
  <c r="Y26" i="8"/>
  <c r="Y27" i="8" s="1"/>
  <c r="Y28" i="8" s="1"/>
  <c r="Y30" i="8" s="1"/>
  <c r="X31" i="8" s="1"/>
  <c r="W26" i="8"/>
  <c r="W27" i="8" s="1"/>
  <c r="W28" i="8" s="1"/>
  <c r="W30" i="8" s="1"/>
  <c r="V31" i="8" s="1"/>
  <c r="S26" i="8"/>
  <c r="S27" i="8" s="1"/>
  <c r="S28" i="8" s="1"/>
  <c r="S30" i="8" s="1"/>
  <c r="R31" i="8" s="1"/>
  <c r="U26" i="8"/>
  <c r="U27" i="8" s="1"/>
  <c r="U28" i="8" s="1"/>
  <c r="U30" i="8" s="1"/>
  <c r="T31" i="8" s="1"/>
  <c r="AE26" i="8"/>
  <c r="AE27" i="8" s="1"/>
  <c r="Q26" i="8"/>
  <c r="Q27" i="8" s="1"/>
  <c r="Q28" i="8" s="1"/>
  <c r="Q30" i="8" s="1"/>
  <c r="P31" i="8" s="1"/>
  <c r="AA26" i="8"/>
  <c r="AA27" i="8" s="1"/>
  <c r="AA28" i="8" s="1"/>
  <c r="AA30" i="8" s="1"/>
  <c r="Z31" i="8" s="1"/>
  <c r="M26" i="8"/>
  <c r="M27" i="8" s="1"/>
  <c r="K26" i="8"/>
  <c r="K27" i="8" s="1"/>
  <c r="G26" i="8"/>
  <c r="O26" i="8"/>
  <c r="O27" i="8" s="1"/>
  <c r="O28" i="8" s="1"/>
  <c r="O30" i="8" s="1"/>
  <c r="N31" i="8" s="1"/>
  <c r="I26" i="8"/>
  <c r="I27" i="8" s="1"/>
  <c r="AF17" i="8"/>
  <c r="J41" i="8"/>
  <c r="K44" i="8" s="1"/>
  <c r="I49" i="8"/>
  <c r="AE19" i="8"/>
  <c r="AF14" i="8"/>
  <c r="G27" i="8" l="1"/>
  <c r="AF27" i="8" s="1"/>
  <c r="AF26" i="8"/>
  <c r="J47" i="8"/>
  <c r="K47" i="8" s="1"/>
  <c r="J45" i="8"/>
  <c r="K45" i="8" s="1"/>
  <c r="J48" i="8"/>
  <c r="K48" i="8" s="1"/>
  <c r="AE28" i="8"/>
  <c r="L41" i="8" l="1"/>
  <c r="M44" i="8" s="1"/>
  <c r="K49" i="8"/>
  <c r="AE30" i="8"/>
  <c r="AD31" i="8" s="1"/>
  <c r="L47" i="8" l="1"/>
  <c r="M47" i="8" s="1"/>
  <c r="L45" i="8"/>
  <c r="M45" i="8" s="1"/>
  <c r="L48" i="8"/>
  <c r="M48" i="8" s="1"/>
  <c r="N41" i="8" l="1"/>
  <c r="O44" i="8" s="1"/>
  <c r="M49" i="8"/>
  <c r="N47" i="8" l="1"/>
  <c r="O47" i="8" s="1"/>
  <c r="N45" i="8"/>
  <c r="O45" i="8" s="1"/>
  <c r="N48" i="8"/>
  <c r="O48" i="8" s="1"/>
  <c r="E15" i="8"/>
  <c r="L63" i="2"/>
  <c r="W31" i="2" s="1"/>
  <c r="W33" i="2" s="1"/>
  <c r="E14" i="8"/>
  <c r="E19" i="8" s="1"/>
  <c r="S40" i="2"/>
  <c r="AA48" i="2" s="1"/>
  <c r="AA46" i="2" s="1"/>
  <c r="L45" i="2"/>
  <c r="U29" i="2"/>
  <c r="S34" i="2"/>
  <c r="X38" i="2" l="1"/>
  <c r="P41" i="8"/>
  <c r="Q44" i="8" s="1"/>
  <c r="O49" i="8"/>
  <c r="X49" i="2"/>
  <c r="E28" i="8"/>
  <c r="E30" i="8" s="1"/>
  <c r="E31" i="8" s="1"/>
  <c r="L48" i="2"/>
  <c r="Y55" i="2" l="1"/>
  <c r="Y56" i="2" s="1"/>
  <c r="P48" i="8"/>
  <c r="Q48" i="8" s="1"/>
  <c r="P45" i="8"/>
  <c r="Q45" i="8" s="1"/>
  <c r="P47" i="8"/>
  <c r="Q47" i="8" s="1"/>
  <c r="G19" i="8"/>
  <c r="M19" i="8"/>
  <c r="M28" i="8" s="1"/>
  <c r="M30" i="8" s="1"/>
  <c r="L31" i="8" s="1"/>
  <c r="K19" i="8"/>
  <c r="K28" i="8" s="1"/>
  <c r="K30" i="8" s="1"/>
  <c r="J31" i="8" s="1"/>
  <c r="Q49" i="8" l="1"/>
  <c r="R41" i="8"/>
  <c r="S44" i="8" s="1"/>
  <c r="G28" i="8"/>
  <c r="R45" i="8" l="1"/>
  <c r="S45" i="8" s="1"/>
  <c r="R47" i="8"/>
  <c r="S47" i="8" s="1"/>
  <c r="R48" i="8"/>
  <c r="S48" i="8" s="1"/>
  <c r="G30" i="8"/>
  <c r="F31" i="8" s="1"/>
  <c r="T41" i="8" l="1"/>
  <c r="U44" i="8" s="1"/>
  <c r="S49" i="8"/>
  <c r="T48" i="8" l="1"/>
  <c r="U48" i="8" s="1"/>
  <c r="T47" i="8"/>
  <c r="U47" i="8" s="1"/>
  <c r="T45" i="8"/>
  <c r="F32" i="8"/>
  <c r="I19" i="8"/>
  <c r="I28" i="8" s="1"/>
  <c r="AF28" i="8" s="1"/>
  <c r="U45" i="8" l="1"/>
  <c r="V41" i="8" s="1"/>
  <c r="I30" i="8"/>
  <c r="H31" i="8" s="1"/>
  <c r="AF19" i="8"/>
  <c r="AF22" i="8"/>
  <c r="AF24" i="8"/>
  <c r="AF16" i="8"/>
  <c r="AF18" i="8"/>
  <c r="AF21" i="8"/>
  <c r="AF23" i="8"/>
  <c r="AF20" i="8"/>
  <c r="AF25" i="8"/>
  <c r="U49" i="8" l="1"/>
  <c r="W44" i="8"/>
  <c r="V48" i="8"/>
  <c r="W48" i="8" s="1"/>
  <c r="V45" i="8"/>
  <c r="W45" i="8" s="1"/>
  <c r="V47" i="8"/>
  <c r="W47" i="8" s="1"/>
  <c r="AF30" i="8"/>
  <c r="X41" i="8" l="1"/>
  <c r="W49" i="8"/>
  <c r="AF31" i="8"/>
  <c r="H32" i="8"/>
  <c r="J32" i="8" s="1"/>
  <c r="L32" i="8" s="1"/>
  <c r="N32" i="8" s="1"/>
  <c r="P32" i="8" s="1"/>
  <c r="R32" i="8" s="1"/>
  <c r="T32" i="8" s="1"/>
  <c r="V32" i="8" s="1"/>
  <c r="X32" i="8" s="1"/>
  <c r="Z32" i="8" s="1"/>
  <c r="AB32" i="8" s="1"/>
  <c r="AD32" i="8" s="1"/>
  <c r="Y44" i="8" l="1"/>
  <c r="X48" i="8"/>
  <c r="Y48" i="8" s="1"/>
  <c r="X45" i="8"/>
  <c r="Y45" i="8" s="1"/>
  <c r="X47" i="8"/>
  <c r="Y47" i="8" s="1"/>
  <c r="Y49" i="8" l="1"/>
  <c r="Z41" i="8"/>
  <c r="AA44" i="8" l="1"/>
  <c r="Z45" i="8"/>
  <c r="AA45" i="8" s="1"/>
  <c r="Z48" i="8"/>
  <c r="AA48" i="8" s="1"/>
  <c r="Z47" i="8"/>
  <c r="AA47" i="8" s="1"/>
  <c r="AA49" i="8" l="1"/>
  <c r="AB41" i="8"/>
  <c r="AC44" i="8" l="1"/>
  <c r="AB48" i="8"/>
  <c r="AC48" i="8" s="1"/>
  <c r="AB47" i="8"/>
  <c r="AC47" i="8" s="1"/>
  <c r="AB45" i="8"/>
  <c r="AC45" i="8" s="1"/>
  <c r="AD41" i="8" l="1"/>
  <c r="AC49" i="8"/>
  <c r="AD48" i="8" l="1"/>
  <c r="AE48" i="8" s="1"/>
  <c r="AD47" i="8"/>
  <c r="AE47" i="8" s="1"/>
  <c r="AD45" i="8"/>
  <c r="AE45" i="8" s="1"/>
  <c r="AE44" i="8"/>
  <c r="AF44" i="8" s="1"/>
  <c r="AF47" i="8" l="1"/>
  <c r="AF48" i="8"/>
  <c r="AF45" i="8"/>
  <c r="AF46" i="8"/>
  <c r="AE49" i="8"/>
  <c r="AF49" i="8" l="1"/>
</calcChain>
</file>

<file path=xl/sharedStrings.xml><?xml version="1.0" encoding="utf-8"?>
<sst xmlns="http://schemas.openxmlformats.org/spreadsheetml/2006/main" count="459" uniqueCount="309">
  <si>
    <t>基準額</t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</si>
  <si>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</si>
  <si>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</si>
  <si>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</si>
  <si>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</si>
  <si>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</si>
  <si>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</si>
  <si>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</si>
  <si>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</si>
  <si>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</si>
  <si>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</si>
  <si>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</si>
  <si>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</si>
  <si>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</si>
  <si>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</si>
  <si>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</si>
  <si>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</si>
  <si>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</si>
  <si>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</si>
  <si>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</si>
  <si>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</si>
  <si>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金額</t>
    <rPh sb="0" eb="2">
      <t>キンガク</t>
    </rPh>
    <phoneticPr fontId="2"/>
  </si>
  <si>
    <t>食費</t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</si>
  <si>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</si>
  <si>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</si>
  <si>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</si>
  <si>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</si>
  <si>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</si>
  <si>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</si>
  <si>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</si>
  <si>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</si>
  <si>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</si>
  <si>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</si>
  <si>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</si>
  <si>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</si>
  <si>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</si>
  <si>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【日程表】</t>
    <rPh sb="1" eb="3">
      <t>ニッテイ</t>
    </rPh>
    <rPh sb="3" eb="4">
      <t>ヒョウ</t>
    </rPh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</si>
  <si>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</si>
  <si>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</si>
  <si>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</si>
  <si>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</si>
  <si>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</si>
  <si>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</si>
  <si>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</si>
  <si>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</si>
  <si>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</si>
  <si>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</si>
  <si>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</si>
  <si>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</si>
  <si>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</si>
  <si>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</si>
  <si>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</si>
  <si>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</si>
  <si>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</si>
  <si>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</si>
  <si>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</si>
  <si>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</si>
  <si>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</si>
  <si>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</si>
  <si>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</si>
  <si>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</si>
  <si>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</si>
  <si>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</si>
  <si>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</si>
  <si>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</si>
  <si>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</si>
  <si>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年度：</t>
    <rPh sb="0" eb="2">
      <t>ネンド</t>
    </rPh>
    <phoneticPr fontId="2"/>
  </si>
  <si>
    <t>研修旅行中</t>
  </si>
  <si>
    <t>日数</t>
    <rPh sb="0" eb="2">
      <t>ニッスウ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</si>
  <si>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</si>
  <si>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</si>
  <si>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</si>
  <si>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</si>
  <si>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</si>
  <si>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</si>
  <si>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</si>
  <si>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</si>
  <si>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【国内移動費】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</si>
  <si>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</si>
  <si>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(1往復)</t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</si>
  <si>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</si>
  <si>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</si>
  <si>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</si>
  <si>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</si>
  <si>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</si>
  <si>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</si>
  <si>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</si>
  <si>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</si>
  <si>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</si>
  <si>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計（①）</t>
    <phoneticPr fontId="2"/>
  </si>
  <si>
    <t>計（②）</t>
    <phoneticPr fontId="2"/>
  </si>
  <si>
    <t>計（③）</t>
    <phoneticPr fontId="2"/>
  </si>
  <si>
    <t>受入企業から外部及び研修生への支払額</t>
    <phoneticPr fontId="2"/>
  </si>
  <si>
    <t>日数/回</t>
    <phoneticPr fontId="2"/>
  </si>
  <si>
    <t>渡航費</t>
    <phoneticPr fontId="2"/>
  </si>
  <si>
    <t>宿舎費</t>
    <phoneticPr fontId="2"/>
  </si>
  <si>
    <t>日</t>
    <phoneticPr fontId="2"/>
  </si>
  <si>
    <t>雑費</t>
    <phoneticPr fontId="2"/>
  </si>
  <si>
    <t>計</t>
    <phoneticPr fontId="2"/>
  </si>
  <si>
    <t>年月</t>
    <phoneticPr fontId="2"/>
  </si>
  <si>
    <t>日数（一般研修）</t>
    <phoneticPr fontId="2"/>
  </si>
  <si>
    <t>日数（実地研修）</t>
    <phoneticPr fontId="2"/>
  </si>
  <si>
    <t>日数計</t>
    <phoneticPr fontId="2"/>
  </si>
  <si>
    <t>費目</t>
    <phoneticPr fontId="2"/>
  </si>
  <si>
    <t>金額</t>
    <phoneticPr fontId="2"/>
  </si>
  <si>
    <t>計（円）</t>
    <phoneticPr fontId="2"/>
  </si>
  <si>
    <t>一般研修中</t>
    <phoneticPr fontId="2"/>
  </si>
  <si>
    <t>研修旅行中</t>
    <phoneticPr fontId="2"/>
  </si>
  <si>
    <t>チェックイン当日
（宿舎費+食費）</t>
    <phoneticPr fontId="2"/>
  </si>
  <si>
    <t>以外</t>
    <phoneticPr fontId="2"/>
  </si>
  <si>
    <t>センター滞在中
（宿舎費+食費）</t>
    <phoneticPr fontId="2"/>
  </si>
  <si>
    <t>食費</t>
    <phoneticPr fontId="2"/>
  </si>
  <si>
    <t>実地研修中</t>
    <phoneticPr fontId="2"/>
  </si>
  <si>
    <t>企業が受取る
受入費</t>
    <phoneticPr fontId="2"/>
  </si>
  <si>
    <t>基準額</t>
    <phoneticPr fontId="2"/>
  </si>
  <si>
    <t>滞在費</t>
    <phoneticPr fontId="2"/>
  </si>
  <si>
    <t>累計差引支払額(※)</t>
    <phoneticPr fontId="2"/>
  </si>
  <si>
    <t>実地研修中外部宿舎費（補助対象分）</t>
    <phoneticPr fontId="2"/>
  </si>
  <si>
    <t>Ⅰ．</t>
    <phoneticPr fontId="2"/>
  </si>
  <si>
    <t>企業名　：</t>
    <phoneticPr fontId="2"/>
  </si>
  <si>
    <t>Ⅱ．</t>
    <phoneticPr fontId="2"/>
  </si>
  <si>
    <t>研修申込区分　：</t>
    <phoneticPr fontId="2"/>
  </si>
  <si>
    <t>Ⅶ．</t>
    <phoneticPr fontId="2"/>
  </si>
  <si>
    <t>実地研修中の宿泊　：　</t>
    <phoneticPr fontId="2"/>
  </si>
  <si>
    <t>Ⅲ．</t>
    <phoneticPr fontId="2"/>
  </si>
  <si>
    <t>来日日　：</t>
    <phoneticPr fontId="2"/>
  </si>
  <si>
    <t>外部宿舎費（上で｢外部宿舎｣を選択の場合）：</t>
    <phoneticPr fontId="2"/>
  </si>
  <si>
    <t>円／泊</t>
    <phoneticPr fontId="2"/>
  </si>
  <si>
    <t>Ⅳ．</t>
    <phoneticPr fontId="2"/>
  </si>
  <si>
    <t>全体研修期間　：</t>
    <phoneticPr fontId="2"/>
  </si>
  <si>
    <t>日</t>
    <phoneticPr fontId="2"/>
  </si>
  <si>
    <t>円／泊</t>
    <phoneticPr fontId="2"/>
  </si>
  <si>
    <t>実地研修期間</t>
    <phoneticPr fontId="2"/>
  </si>
  <si>
    <t>Ⅷ．</t>
    <phoneticPr fontId="2"/>
  </si>
  <si>
    <t>円</t>
    <phoneticPr fontId="2"/>
  </si>
  <si>
    <t>雑費</t>
    <phoneticPr fontId="2"/>
  </si>
  <si>
    <t>Ⅵ．</t>
    <phoneticPr fontId="2"/>
  </si>
  <si>
    <t>渡航費　：</t>
    <phoneticPr fontId="2"/>
  </si>
  <si>
    <t>計</t>
    <phoneticPr fontId="2"/>
  </si>
  <si>
    <t>実地研修費</t>
    <phoneticPr fontId="2"/>
  </si>
  <si>
    <t>【計算結果】</t>
    <phoneticPr fontId="2"/>
  </si>
  <si>
    <t>1)　受入費等支出明細　[コース開始前日にチェックイン、コース終了翌日にチェックアウトしたものとして設定]</t>
    <phoneticPr fontId="2"/>
  </si>
  <si>
    <t>費　　目</t>
    <phoneticPr fontId="2"/>
  </si>
  <si>
    <t>単価（\）</t>
    <phoneticPr fontId="2"/>
  </si>
  <si>
    <t>日数/回</t>
    <phoneticPr fontId="2"/>
  </si>
  <si>
    <t>国庫補助額</t>
    <phoneticPr fontId="2"/>
  </si>
  <si>
    <t>受入企業負担額</t>
    <phoneticPr fontId="2"/>
  </si>
  <si>
    <t>補助率：</t>
    <phoneticPr fontId="2"/>
  </si>
  <si>
    <t>負担率：</t>
    <phoneticPr fontId="2"/>
  </si>
  <si>
    <t>受入費</t>
    <phoneticPr fontId="2"/>
  </si>
  <si>
    <t>渡航費</t>
    <phoneticPr fontId="2"/>
  </si>
  <si>
    <t>滞在費</t>
    <phoneticPr fontId="2"/>
  </si>
  <si>
    <t>一般研修中</t>
    <phoneticPr fontId="2"/>
  </si>
  <si>
    <t>チェックイン当日</t>
    <phoneticPr fontId="2"/>
  </si>
  <si>
    <t>宿舎費+食費</t>
    <phoneticPr fontId="2"/>
  </si>
  <si>
    <t>センター滞在中</t>
    <phoneticPr fontId="2"/>
  </si>
  <si>
    <t>研修旅行中</t>
    <phoneticPr fontId="2"/>
  </si>
  <si>
    <t>宿舎費</t>
    <phoneticPr fontId="2"/>
  </si>
  <si>
    <t>実地研修中</t>
    <phoneticPr fontId="2"/>
  </si>
  <si>
    <t>-</t>
    <phoneticPr fontId="2"/>
  </si>
  <si>
    <t>合計</t>
    <phoneticPr fontId="2"/>
  </si>
  <si>
    <t>（受入費等 計：①）</t>
    <phoneticPr fontId="2"/>
  </si>
  <si>
    <t>（国庫補助金）</t>
    <phoneticPr fontId="2"/>
  </si>
  <si>
    <t>費目</t>
    <phoneticPr fontId="2"/>
  </si>
  <si>
    <t>支払額</t>
    <phoneticPr fontId="2"/>
  </si>
  <si>
    <t>センター
　　利用料等</t>
    <phoneticPr fontId="2"/>
  </si>
  <si>
    <t>日数</t>
    <rPh sb="0" eb="2">
      <t>ニッスウ</t>
    </rPh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</si>
  <si>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</si>
  <si>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</si>
  <si>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研修旅行予定日</t>
    <rPh sb="0" eb="2">
      <t>ケンシュウ</t>
    </rPh>
    <rPh sb="2" eb="4">
      <t>リョコウ</t>
    </rPh>
    <rPh sb="4" eb="7">
      <t>ヨテイビ</t>
    </rPh>
    <phoneticPr fontId="2"/>
  </si>
  <si>
    <t>【費用の使途(支払先別)】</t>
    <phoneticPr fontId="2"/>
  </si>
  <si>
    <t>支払先</t>
    <phoneticPr fontId="2"/>
  </si>
  <si>
    <t>費　　目</t>
    <phoneticPr fontId="2"/>
  </si>
  <si>
    <t>支出額</t>
    <phoneticPr fontId="2"/>
  </si>
  <si>
    <t>備　　考</t>
    <phoneticPr fontId="2"/>
  </si>
  <si>
    <t>旅費</t>
    <phoneticPr fontId="2"/>
  </si>
  <si>
    <t>旅行代理店等</t>
    <phoneticPr fontId="2"/>
  </si>
  <si>
    <t>渡航費</t>
    <phoneticPr fontId="2"/>
  </si>
  <si>
    <t>研修生へは現物提供</t>
    <phoneticPr fontId="2"/>
  </si>
  <si>
    <t>JR等</t>
    <phoneticPr fontId="2"/>
  </si>
  <si>
    <t>国内移動費</t>
    <phoneticPr fontId="2"/>
  </si>
  <si>
    <t>合　　計</t>
    <phoneticPr fontId="2"/>
  </si>
  <si>
    <t>宿舎費</t>
    <phoneticPr fontId="2"/>
  </si>
  <si>
    <t>外部宿舎</t>
    <phoneticPr fontId="2"/>
  </si>
  <si>
    <r>
      <t>実地研修中 宿舎費</t>
    </r>
    <r>
      <rPr>
        <sz val="8"/>
        <rFont val="ＭＳ Ｐゴシック"/>
        <family val="3"/>
        <charset val="128"/>
      </rPr>
      <t>(外部宿舎利用時)</t>
    </r>
    <phoneticPr fontId="2"/>
  </si>
  <si>
    <t>商業ホテル、旅館等</t>
    <phoneticPr fontId="2"/>
  </si>
  <si>
    <t>生活費</t>
    <phoneticPr fontId="2"/>
  </si>
  <si>
    <t>研修生</t>
    <phoneticPr fontId="2"/>
  </si>
  <si>
    <t>実地研修中 食費</t>
    <phoneticPr fontId="2"/>
  </si>
  <si>
    <t>現金払い</t>
    <phoneticPr fontId="2"/>
  </si>
  <si>
    <t>雑費</t>
    <phoneticPr fontId="2"/>
  </si>
  <si>
    <t>研修費等</t>
    <phoneticPr fontId="2"/>
  </si>
  <si>
    <t>受入企業</t>
    <phoneticPr fontId="2"/>
  </si>
  <si>
    <t>実地研修費</t>
    <phoneticPr fontId="2"/>
  </si>
  <si>
    <t>指導員人件費、作業着、テキスト等</t>
    <phoneticPr fontId="2"/>
  </si>
  <si>
    <r>
      <t>実地研修中 宿舎費</t>
    </r>
    <r>
      <rPr>
        <sz val="8"/>
        <rFont val="ＭＳ Ｐゴシック"/>
        <family val="3"/>
        <charset val="128"/>
      </rPr>
      <t>（会社施設利用時）</t>
    </r>
    <phoneticPr fontId="2"/>
  </si>
  <si>
    <t>社員寮、借上げアパート</t>
    <phoneticPr fontId="2"/>
  </si>
  <si>
    <t>受入費等基準額</t>
    <phoneticPr fontId="22"/>
  </si>
  <si>
    <t>費用の使途</t>
    <phoneticPr fontId="2"/>
  </si>
  <si>
    <t>国庫補助金</t>
    <phoneticPr fontId="2"/>
  </si>
  <si>
    <t>受入企業が研修生や業者へ支払う</t>
    <phoneticPr fontId="22"/>
  </si>
  <si>
    <t xml:space="preserve"> 渡航費</t>
    <phoneticPr fontId="22"/>
  </si>
  <si>
    <t>航空券代</t>
    <phoneticPr fontId="22"/>
  </si>
  <si>
    <t>　宿舎費</t>
    <phoneticPr fontId="2"/>
  </si>
  <si>
    <t>研修生への食費</t>
    <phoneticPr fontId="22"/>
  </si>
  <si>
    <t xml:space="preserve">   雑費</t>
    <phoneticPr fontId="22"/>
  </si>
  <si>
    <t>研修生への雑費</t>
    <phoneticPr fontId="22"/>
  </si>
  <si>
    <t xml:space="preserve"> 実地研修費</t>
    <phoneticPr fontId="22"/>
  </si>
  <si>
    <t>実地研修費用</t>
    <phoneticPr fontId="22"/>
  </si>
  <si>
    <t xml:space="preserve"> 国内移動費</t>
    <phoneticPr fontId="2"/>
  </si>
  <si>
    <t>国内移動費</t>
    <phoneticPr fontId="22"/>
  </si>
  <si>
    <t>(A)　-　(B)</t>
    <phoneticPr fontId="22"/>
  </si>
  <si>
    <t>②</t>
    <phoneticPr fontId="2"/>
  </si>
  <si>
    <t>③</t>
    <phoneticPr fontId="2"/>
  </si>
  <si>
    <t>【試算条件】</t>
    <rPh sb="1" eb="3">
      <t>シサン</t>
    </rPh>
    <rPh sb="3" eb="5">
      <t>ジョウケン</t>
    </rPh>
    <phoneticPr fontId="2"/>
  </si>
  <si>
    <t>：手入力</t>
    <rPh sb="1" eb="2">
      <t>テ</t>
    </rPh>
    <rPh sb="2" eb="4">
      <t>ニュウリョク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</si>
  <si>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</si>
  <si>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作成日：</t>
    <rPh sb="0" eb="3">
      <t>サクセイビ</t>
    </rPh>
    <phoneticPr fontId="2"/>
  </si>
  <si>
    <t>対象期間：</t>
    <rPh sb="0" eb="2">
      <t>タイショウ</t>
    </rPh>
    <rPh sb="2" eb="4">
      <t>キカン</t>
    </rPh>
    <phoneticPr fontId="2"/>
  </si>
  <si>
    <t>実地研修</t>
    <rPh sb="0" eb="2">
      <t>ジッチ</t>
    </rPh>
    <rPh sb="2" eb="4">
      <t>ケンシュウ</t>
    </rPh>
    <phoneticPr fontId="2"/>
  </si>
  <si>
    <t>合　　計</t>
    <rPh sb="0" eb="1">
      <t>ア</t>
    </rPh>
    <rPh sb="3" eb="4">
      <t>ケイ</t>
    </rPh>
    <phoneticPr fontId="2"/>
  </si>
  <si>
    <t>～</t>
    <phoneticPr fontId="2"/>
  </si>
  <si>
    <t>コース不参加</t>
    <rPh sb="3" eb="6">
      <t>フサンカ</t>
    </rPh>
    <phoneticPr fontId="2"/>
  </si>
  <si>
    <t>来日当日</t>
    <rPh sb="0" eb="2">
      <t>ライニチ</t>
    </rPh>
    <rPh sb="2" eb="4">
      <t>トウジツ</t>
    </rPh>
    <phoneticPr fontId="2"/>
  </si>
  <si>
    <t>来日翌日以降</t>
    <rPh sb="0" eb="2">
      <t>ライニチ</t>
    </rPh>
    <rPh sb="2" eb="4">
      <t>ヨクジツ</t>
    </rPh>
    <rPh sb="4" eb="6">
      <t>イコウ</t>
    </rPh>
    <phoneticPr fontId="2"/>
  </si>
  <si>
    <t>食費（来日翌日以降）</t>
    <rPh sb="3" eb="5">
      <t>ライニチ</t>
    </rPh>
    <rPh sb="5" eb="7">
      <t>ヨクジツ</t>
    </rPh>
    <rPh sb="7" eb="9">
      <t>イコウ</t>
    </rPh>
    <phoneticPr fontId="2"/>
  </si>
  <si>
    <t>食費（来日当日）</t>
    <rPh sb="5" eb="7">
      <t>トウジツ</t>
    </rPh>
    <phoneticPr fontId="2"/>
  </si>
  <si>
    <t xml:space="preserve">   食費</t>
    <phoneticPr fontId="22"/>
  </si>
  <si>
    <t>1. 来日空港～最初の実地研修地間：</t>
    <phoneticPr fontId="2"/>
  </si>
  <si>
    <t>来日空港</t>
    <phoneticPr fontId="2"/>
  </si>
  <si>
    <t>最初の実地研修地間</t>
    <phoneticPr fontId="2"/>
  </si>
  <si>
    <t>2. 最後の宿泊場所～離日空港間：</t>
    <phoneticPr fontId="2"/>
  </si>
  <si>
    <t>宿泊場所～離日空港間</t>
    <rPh sb="0" eb="2">
      <t>シュクハク</t>
    </rPh>
    <rPh sb="2" eb="4">
      <t>バショ</t>
    </rPh>
    <phoneticPr fontId="2"/>
  </si>
  <si>
    <t>：コース不参加 費用試算シート 【試算条件】での選択値</t>
    <rPh sb="4" eb="7">
      <t>フサンカ</t>
    </rPh>
    <rPh sb="8" eb="10">
      <t>ヒヨウ</t>
    </rPh>
    <rPh sb="10" eb="12">
      <t>シサン</t>
    </rPh>
    <rPh sb="17" eb="19">
      <t>シサン</t>
    </rPh>
    <rPh sb="19" eb="21">
      <t>ジョウケン</t>
    </rPh>
    <rPh sb="24" eb="26">
      <t>センタク</t>
    </rPh>
    <rPh sb="26" eb="27">
      <t>チ</t>
    </rPh>
    <phoneticPr fontId="2"/>
  </si>
  <si>
    <t>(A)企業が立替える</t>
    <rPh sb="6" eb="8">
      <t>タテカ</t>
    </rPh>
    <phoneticPr fontId="2"/>
  </si>
  <si>
    <t>（来日日を含む）</t>
    <rPh sb="1" eb="3">
      <t>ライニチ</t>
    </rPh>
    <rPh sb="3" eb="4">
      <t>ビ</t>
    </rPh>
    <rPh sb="5" eb="6">
      <t>フク</t>
    </rPh>
    <phoneticPr fontId="2"/>
  </si>
  <si>
    <t>企業が立替える受入費（A)</t>
    <phoneticPr fontId="2"/>
  </si>
  <si>
    <t>ＡＯＴＳ制度利用の費用試算（企業受入・一人あたり）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</si>
  <si>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</si>
  <si>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【受入費の流れ（ＡＯＴＳと企業の精算）】</t>
    <phoneticPr fontId="2"/>
  </si>
  <si>
    <t>AOTSが直接執行した受入費</t>
    <phoneticPr fontId="2"/>
  </si>
  <si>
    <t xml:space="preserve">(B)AOTSに払う </t>
    <phoneticPr fontId="22"/>
  </si>
  <si>
    <t>企業とAOTSの精算</t>
    <phoneticPr fontId="22"/>
  </si>
  <si>
    <t>企業からAOTSへお支払いいただきます</t>
    <phoneticPr fontId="2"/>
  </si>
  <si>
    <t>AOTSから企業へお支払いいたします</t>
    <phoneticPr fontId="2"/>
  </si>
  <si>
    <t>AOTSが直接執行した
受入費</t>
    <phoneticPr fontId="2"/>
  </si>
  <si>
    <t xml:space="preserve"> ※ 累計差引支払額がプラスになった時点（灰色の月）以降、AOTSから受入企業へ当月差引支払額が支払われます。</t>
    <phoneticPr fontId="2"/>
  </si>
  <si>
    <t>研修実施分担金</t>
  </si>
  <si>
    <t>★★研修実施分担金</t>
  </si>
  <si>
    <t>★受入分担金</t>
  </si>
  <si>
    <t>（受入分担金）</t>
  </si>
  <si>
    <t>受入分担金</t>
  </si>
  <si>
    <r>
      <t>実地研修中</t>
    </r>
    <r>
      <rPr>
        <sz val="10"/>
        <rFont val="ＭＳ Ｐゴシック"/>
        <family val="3"/>
        <charset val="128"/>
      </rPr>
      <t xml:space="preserve">      宿舎費、食費（朝、夕）</t>
    </r>
    <phoneticPr fontId="2"/>
  </si>
  <si>
    <t>国内移動費　：　</t>
    <phoneticPr fontId="2"/>
  </si>
  <si>
    <t>国内移動費</t>
  </si>
  <si>
    <t>国内移動費</t>
    <phoneticPr fontId="2"/>
  </si>
  <si>
    <t>一般研修コース：</t>
    <rPh sb="0" eb="2">
      <t>イッパン</t>
    </rPh>
    <rPh sb="2" eb="4">
      <t>ケンシュウ</t>
    </rPh>
    <phoneticPr fontId="2"/>
  </si>
  <si>
    <t>当月差引支払額（②-③）</t>
    <phoneticPr fontId="2"/>
  </si>
  <si>
    <t>基準額超過分は全額受入企業負担</t>
    <rPh sb="7" eb="9">
      <t>ゼンガク</t>
    </rPh>
    <phoneticPr fontId="2"/>
  </si>
  <si>
    <t>海外旅行保険</t>
    <rPh sb="0" eb="6">
      <t>カイガイリョコウホケン</t>
    </rPh>
    <phoneticPr fontId="2"/>
  </si>
  <si>
    <t>-</t>
    <phoneticPr fontId="2"/>
  </si>
  <si>
    <t>【海外旅行保険】</t>
    <rPh sb="1" eb="7">
      <t>カイガイリョコウホケン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</si>
  <si>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</si>
  <si>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</si>
  <si>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研修期間</t>
    <rPh sb="0" eb="2">
      <t>ケンシュウ</t>
    </rPh>
    <rPh sb="2" eb="4">
      <t>キカン</t>
    </rPh>
    <phoneticPr fontId="2"/>
  </si>
  <si>
    <t>該当項目</t>
    <rPh sb="0" eb="2">
      <t>ガイトウ</t>
    </rPh>
    <rPh sb="2" eb="4">
      <t>コウモク</t>
    </rPh>
    <phoneticPr fontId="5"/>
  </si>
  <si>
    <t>保険日数</t>
    <rPh sb="0" eb="2">
      <t>ホケン</t>
    </rPh>
    <rPh sb="2" eb="4">
      <t>ニッスウ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</si>
  <si>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</si>
  <si>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</si>
  <si>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</si>
  <si>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</si>
  <si>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</si>
  <si>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</si>
  <si>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</si>
  <si>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</si>
  <si>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</si>
  <si>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</si>
  <si>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</si>
  <si>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</si>
  <si>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3)　ＡＯＴＳにて直接執行した受入費（研修センター利用料）・海外旅行保険</t>
    <phoneticPr fontId="3"/>
  </si>
  <si>
    <t>※受入費には歯科診療費、国民健康保険料等も含まれます（上記試算表には未織込み、受入企業負担あり）。</t>
    <phoneticPr fontId="2"/>
  </si>
  <si>
    <t xml:space="preserve"> センター利用料</t>
    <phoneticPr fontId="2"/>
  </si>
  <si>
    <t xml:space="preserve"> 海外旅行保険</t>
    <rPh sb="1" eb="7">
      <t>カイガイリョコウホケン</t>
    </rPh>
    <phoneticPr fontId="22"/>
  </si>
  <si>
    <t>国内移動費</t>
    <rPh sb="0" eb="5">
      <t>コクナイイドウヒ</t>
    </rPh>
    <phoneticPr fontId="2"/>
  </si>
  <si>
    <t xml:space="preserve"> ※ 渡航費、歯科診療費、国民健康保険料等に加え、外部宿舎費の上限額を超える部分は、この表に含まれておりません。</t>
    <phoneticPr fontId="2"/>
  </si>
  <si>
    <t>補助金と分担金</t>
    <rPh sb="4" eb="6">
      <t>ブンタン</t>
    </rPh>
    <phoneticPr fontId="2"/>
  </si>
  <si>
    <t>2)　分担金　[受入企業負担の総額]</t>
    <rPh sb="3" eb="5">
      <t>ブンタン</t>
    </rPh>
    <phoneticPr fontId="2"/>
  </si>
  <si>
    <t>分担金</t>
    <rPh sb="0" eb="2">
      <t>ブンタン</t>
    </rPh>
    <phoneticPr fontId="2"/>
  </si>
  <si>
    <t>研修実施</t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</si>
  <si>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</si>
  <si>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分担金</t>
    <phoneticPr fontId="2"/>
  </si>
  <si>
    <t>総額</t>
    <rPh sb="0" eb="2">
      <t>ソウガク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</si>
  <si>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</si>
  <si>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</si>
  <si>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</si>
  <si>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4" eb="5">
      <t>ナド</t>
    </rPh>
    <rPh sb="13" eb="14">
      <t>カ</t>
    </rPh>
    <rPh sb="14" eb="16">
      <t>ジンザイ</t>
    </rPh>
    <rPh sb="16" eb="18">
      <t>イクセイ</t>
    </rPh>
    <rPh sb="18" eb="19">
      <t>ナド</t>
    </rPh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</si>
  <si>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</si>
  <si>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</si>
  <si>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</si>
  <si>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phoneticPr fontId="2"/>
  </si>
  <si>
    <t>※次の事業における一般研修コース不参加の場合の研修実施分担金は、以下のとおりです。
　・「省エネ機器等の導入・メンテナンスに係る人材育成事業」：122,000円を上限とする補助対象経費総額の10％
　・「先進技術展開（グリーン成長戦略）分野に係る人材育成事業」の「産業技術者招へい」：122,000円を上限とする補助対象経費総額の8％
本試算シートでは、一般研修コース不参加の場合の研修実施分担金額を研修生一人あたり122,000円と固定して設定していますが、試算条件の設定によっては、研修実施分担金額が122,000円以下になる場合があります。</t>
    <rPh sb="1" eb="2">
      <t>ツギ</t>
    </rPh>
    <rPh sb="3" eb="5">
      <t>ジギョウ</t>
    </rPh>
    <rPh sb="9" eb="11">
      <t>イッパン</t>
    </rPh>
    <rPh sb="11" eb="13">
      <t>ケンシュウ</t>
    </rPh>
    <rPh sb="16" eb="19">
      <t>フサンカ</t>
    </rPh>
    <rPh sb="20" eb="22">
      <t>バアイ</t>
    </rPh>
    <rPh sb="23" eb="25">
      <t>ケンシュウ</t>
    </rPh>
    <rPh sb="25" eb="27">
      <t>ジッシ</t>
    </rPh>
    <rPh sb="27" eb="30">
      <t>ブンタンキン</t>
    </rPh>
    <rPh sb="32" eb="34">
      <t>イカ</t>
    </rPh>
    <rPh sb="45" eb="46">
      <t>ショウ</t>
    </rPh>
    <rPh sb="48" eb="50">
      <t>キキ</t>
    </rPh>
    <rPh sb="50" eb="51">
      <t>ナド</t>
    </rPh>
    <rPh sb="52" eb="54">
      <t>ドウニュウ</t>
    </rPh>
    <rPh sb="62" eb="63">
      <t>カカ</t>
    </rPh>
    <rPh sb="64" eb="66">
      <t>ジンザイ</t>
    </rPh>
    <rPh sb="66" eb="68">
      <t>イクセイ</t>
    </rPh>
    <rPh sb="68" eb="70">
      <t>ジギョウ</t>
    </rPh>
    <rPh sb="79" eb="80">
      <t>エン</t>
    </rPh>
    <rPh sb="81" eb="83">
      <t>ジョウゲン</t>
    </rPh>
    <rPh sb="86" eb="90">
      <t>ホジョタイショウ</t>
    </rPh>
    <rPh sb="90" eb="92">
      <t>ケイヒ</t>
    </rPh>
    <rPh sb="92" eb="94">
      <t>ソウガク</t>
    </rPh>
    <rPh sb="102" eb="104">
      <t>センシン</t>
    </rPh>
    <rPh sb="104" eb="106">
      <t>ギジュツ</t>
    </rPh>
    <rPh sb="106" eb="108">
      <t>テンカイ</t>
    </rPh>
    <rPh sb="113" eb="115">
      <t>セイチョウ</t>
    </rPh>
    <rPh sb="115" eb="117">
      <t>センリャク</t>
    </rPh>
    <rPh sb="118" eb="120">
      <t>ブンヤ</t>
    </rPh>
    <rPh sb="121" eb="122">
      <t>カカ</t>
    </rPh>
    <rPh sb="123" eb="125">
      <t>ジンザイ</t>
    </rPh>
    <rPh sb="125" eb="127">
      <t>イクセイ</t>
    </rPh>
    <rPh sb="127" eb="129">
      <t>ジギョウ</t>
    </rPh>
    <rPh sb="132" eb="134">
      <t>サンギョウ</t>
    </rPh>
    <rPh sb="134" eb="137">
      <t>ギジュツシャ</t>
    </rPh>
    <rPh sb="188" eb="190">
      <t>バアイ</t>
    </rPh>
    <rPh sb="200" eb="203">
      <t>ケンシュウセイ</t>
    </rPh>
    <rPh sb="203" eb="205">
      <t>ヒトリ</t>
    </rPh>
    <rPh sb="215" eb="216">
      <t>エン</t>
    </rPh>
    <rPh sb="217" eb="219">
      <t>コテイ</t>
    </rPh>
    <rPh sb="221" eb="223">
      <t>セッテイ</t>
    </rPh>
    <rPh sb="230" eb="234">
      <t>シサンジョウケン</t>
    </rPh>
    <rPh sb="235" eb="237">
      <t>セッテイ</t>
    </rPh>
    <rPh sb="243" eb="245">
      <t>ケンシュウ</t>
    </rPh>
    <rPh sb="245" eb="247">
      <t>ジッシ</t>
    </rPh>
    <rPh sb="247" eb="251">
      <t>ブンタンキンガク</t>
    </rPh>
    <rPh sb="259" eb="260">
      <t>エン</t>
    </rPh>
    <rPh sb="260" eb="262">
      <t>イカ</t>
    </rPh>
    <rPh sb="265" eb="267">
      <t>バアイ</t>
    </rPh>
    <phoneticPr fontId="2"/>
  </si>
  <si>
    <t>研修実施分担金 ※</t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</si>
  <si>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（ゼロエミのみ補助対象）</t>
    </r>
    <phoneticPr fontId="2"/>
  </si>
  <si>
    <t>【国内移動費基準額】　（2026.04現在）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</si>
  <si>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技術･人材協力を通じた新興国との共創推進事業／中小企業に該当しない企業（重点分野）</t>
    <rPh sb="23" eb="27">
      <t>チュウショウキギョウ</t>
    </rPh>
    <rPh sb="28" eb="30">
      <t>ガイトウ</t>
    </rPh>
    <rPh sb="33" eb="35">
      <t>キギョウ</t>
    </rPh>
    <rPh sb="36" eb="38">
      <t>ジュウテン</t>
    </rPh>
    <rPh sb="38" eb="40">
      <t>ブンヤ</t>
    </rPh>
    <phoneticPr fontId="2"/>
  </si>
  <si>
    <t>技術･人材協力を通じた新興国との共創推進事業／中小企業に該当しない企業（一般分野）</t>
    <rPh sb="36" eb="38">
      <t>イッパン</t>
    </rPh>
    <rPh sb="38" eb="40">
      <t>ブンヤ</t>
    </rPh>
    <phoneticPr fontId="2"/>
  </si>
  <si>
    <t>技術･人材協力を通じた新興国との共創推進事業／中小企業</t>
    <phoneticPr fontId="2"/>
  </si>
  <si>
    <t>技術･人材協力を通じた新興国との共創推進事業／中小企業に該当しない企業（アフリカ案件）</t>
    <rPh sb="40" eb="42">
      <t>アンケン</t>
    </rPh>
    <phoneticPr fontId="2"/>
  </si>
  <si>
    <t>技術･人材協力を通じた新興国との共創推進事業／中小企業（アフリカ案件）</t>
    <rPh sb="32" eb="34">
      <t>アンケン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</si>
</sst>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(&quot;m/d&quot;～)&quot;"/>
    <numFmt numFmtId="187" formatCode="@&quot;～&quot;"/>
    <numFmt numFmtId="188" formatCode="yyyy/mm/dd"/>
    <numFmt numFmtId="189" formatCode="#"/>
    <numFmt numFmtId="190" formatCode="0&quot;日まで&quot;"/>
    <numFmt numFmtId="191" formatCode="0&quot;日&quot;"/>
    <numFmt numFmtId="192" formatCode="\(\ #,##0\)"/>
    <numFmt numFmtId="193" formatCode="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hair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dashed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879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0" fontId="4" fillId="0" borderId="201" xfId="0" applyFont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0" fontId="4" fillId="10" borderId="155" xfId="0" applyFont="1" applyFill="1" applyBorder="1" applyAlignment="1">
      <alignment horizontal="center" vertical="center"/>
    </xf>
    <xf numFmtId="188" fontId="4" fillId="10" borderId="127" xfId="0" applyNumberFormat="1" applyFont="1" applyFill="1" applyBorder="1" applyAlignment="1">
      <alignment horizontal="center" vertical="center"/>
    </xf>
    <xf numFmtId="188" fontId="4" fillId="10" borderId="50" xfId="0" applyNumberFormat="1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0" fontId="4" fillId="10" borderId="157" xfId="0" applyFont="1" applyFill="1" applyBorder="1" applyAlignment="1">
      <alignment horizontal="center" vertical="center"/>
    </xf>
    <xf numFmtId="188" fontId="4" fillId="10" borderId="173" xfId="0" applyNumberFormat="1" applyFont="1" applyFill="1" applyBorder="1" applyAlignment="1">
      <alignment horizontal="center" vertical="center"/>
    </xf>
    <xf numFmtId="188" fontId="4" fillId="10" borderId="70" xfId="0" applyNumberFormat="1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0" fontId="4" fillId="10" borderId="28" xfId="0" applyFont="1" applyFill="1" applyBorder="1" applyAlignment="1">
      <alignment horizontal="center" vertical="center"/>
    </xf>
    <xf numFmtId="188" fontId="4" fillId="10" borderId="33" xfId="0" applyNumberFormat="1" applyFont="1" applyFill="1" applyBorder="1" applyAlignment="1">
      <alignment horizontal="center" vertical="center"/>
    </xf>
    <xf numFmtId="188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188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59" xfId="0" applyFont="1" applyFill="1" applyBorder="1" applyAlignment="1">
      <alignment horizontal="right" vertical="center"/>
    </xf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3" fillId="11" borderId="145" xfId="0" applyFont="1" applyFill="1" applyBorder="1" applyAlignment="1">
      <alignment vertical="center"/>
    </xf>
    <xf numFmtId="0" fontId="23" fillId="11" borderId="134" xfId="0" applyFont="1" applyFill="1" applyBorder="1" applyAlignment="1">
      <alignment vertical="center"/>
    </xf>
    <xf numFmtId="0" fontId="10" fillId="11" borderId="153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85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88" fontId="4" fillId="0" borderId="0" xfId="0" applyNumberFormat="1" applyFont="1"/>
    <xf numFmtId="0" fontId="23" fillId="13" borderId="4" xfId="0" applyFont="1" applyFill="1" applyBorder="1" applyAlignment="1">
      <alignment horizontal="center" vertical="center"/>
    </xf>
    <xf numFmtId="0" fontId="23" fillId="13" borderId="224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188" fontId="4" fillId="0" borderId="0" xfId="0" applyNumberFormat="1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14" borderId="134" xfId="0" applyFont="1" applyFill="1" applyBorder="1" applyAlignment="1">
      <alignment vertical="center"/>
    </xf>
    <xf numFmtId="14" fontId="4" fillId="14" borderId="0" xfId="0" applyNumberFormat="1" applyFont="1" applyFill="1" applyAlignment="1">
      <alignment vertical="center"/>
    </xf>
    <xf numFmtId="0" fontId="4" fillId="14" borderId="4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1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173" xfId="0" applyBorder="1" applyAlignment="1">
      <alignment vertical="center"/>
    </xf>
    <xf numFmtId="0" fontId="0" fillId="0" borderId="0" xfId="0" applyAlignment="1">
      <alignment horizontal="left"/>
    </xf>
    <xf numFmtId="183" fontId="4" fillId="0" borderId="0" xfId="0" applyNumberFormat="1" applyFont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7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4" borderId="82" xfId="0" applyFont="1" applyFill="1" applyBorder="1" applyAlignment="1">
      <alignment horizontal="right" vertical="center" wrapText="1"/>
    </xf>
    <xf numFmtId="12" fontId="15" fillId="4" borderId="170" xfId="0" applyNumberFormat="1" applyFont="1" applyFill="1" applyBorder="1" applyAlignment="1">
      <alignment horizontal="left" vertical="center"/>
    </xf>
    <xf numFmtId="0" fontId="15" fillId="4" borderId="84" xfId="0" applyFont="1" applyFill="1" applyBorder="1" applyAlignment="1">
      <alignment horizontal="right" vertical="center"/>
    </xf>
    <xf numFmtId="12" fontId="15" fillId="4" borderId="85" xfId="0" applyNumberFormat="1" applyFont="1" applyFill="1" applyBorder="1" applyAlignment="1">
      <alignment horizontal="left" vertical="center"/>
    </xf>
    <xf numFmtId="179" fontId="0" fillId="0" borderId="207" xfId="1" applyNumberFormat="1" applyFont="1" applyBorder="1" applyAlignment="1" applyProtection="1">
      <alignment vertical="center"/>
    </xf>
    <xf numFmtId="179" fontId="0" fillId="0" borderId="207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79" fontId="0" fillId="0" borderId="127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9" fontId="0" fillId="0" borderId="245" xfId="1" applyNumberFormat="1" applyFont="1" applyBorder="1" applyAlignment="1" applyProtection="1">
      <alignment vertical="center"/>
    </xf>
    <xf numFmtId="179" fontId="0" fillId="0" borderId="246" xfId="0" applyNumberFormat="1" applyBorder="1" applyAlignment="1">
      <alignment vertical="center"/>
    </xf>
    <xf numFmtId="179" fontId="0" fillId="0" borderId="247" xfId="0" applyNumberFormat="1" applyBorder="1" applyAlignment="1">
      <alignment vertical="center"/>
    </xf>
    <xf numFmtId="0" fontId="0" fillId="0" borderId="11" xfId="0" applyBorder="1" applyAlignment="1">
      <alignment horizontal="right" vertical="center"/>
    </xf>
    <xf numFmtId="179" fontId="0" fillId="0" borderId="173" xfId="1" applyNumberFormat="1" applyFont="1" applyBorder="1" applyAlignment="1" applyProtection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7" fontId="3" fillId="0" borderId="168" xfId="0" applyNumberFormat="1" applyFont="1" applyBorder="1" applyAlignment="1">
      <alignment vertical="center"/>
    </xf>
    <xf numFmtId="0" fontId="4" fillId="0" borderId="143" xfId="0" applyFont="1" applyBorder="1"/>
    <xf numFmtId="0" fontId="3" fillId="0" borderId="143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0" fillId="0" borderId="0" xfId="1" applyNumberFormat="1" applyFont="1" applyFill="1" applyBorder="1" applyAlignment="1" applyProtection="1">
      <alignment vertical="center"/>
    </xf>
    <xf numFmtId="0" fontId="15" fillId="4" borderId="185" xfId="0" applyFont="1" applyFill="1" applyBorder="1" applyAlignment="1">
      <alignment horizontal="center" vertical="center"/>
    </xf>
    <xf numFmtId="177" fontId="16" fillId="4" borderId="104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4" fillId="0" borderId="169" xfId="0" applyFont="1" applyBorder="1" applyAlignment="1">
      <alignment vertical="center"/>
    </xf>
    <xf numFmtId="38" fontId="14" fillId="0" borderId="171" xfId="1" applyFont="1" applyBorder="1" applyAlignment="1" applyProtection="1">
      <alignment vertical="center"/>
    </xf>
    <xf numFmtId="178" fontId="14" fillId="0" borderId="171" xfId="0" applyNumberFormat="1" applyFont="1" applyBorder="1" applyAlignment="1">
      <alignment vertical="center"/>
    </xf>
    <xf numFmtId="179" fontId="14" fillId="5" borderId="166" xfId="0" applyNumberFormat="1" applyFont="1" applyFill="1" applyBorder="1" applyAlignment="1">
      <alignment vertical="center"/>
    </xf>
    <xf numFmtId="179" fontId="3" fillId="5" borderId="168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84" xfId="0" applyBorder="1" applyAlignment="1">
      <alignment vertical="center"/>
    </xf>
    <xf numFmtId="179" fontId="0" fillId="0" borderId="170" xfId="1" applyNumberFormat="1" applyFont="1" applyBorder="1" applyAlignment="1" applyProtection="1">
      <alignment vertical="center"/>
    </xf>
    <xf numFmtId="184" fontId="0" fillId="0" borderId="171" xfId="0" applyNumberFormat="1" applyBorder="1" applyAlignment="1">
      <alignment vertical="center"/>
    </xf>
    <xf numFmtId="179" fontId="0" fillId="5" borderId="85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5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6" xfId="0" applyFont="1" applyBorder="1" applyAlignment="1">
      <alignment vertical="center"/>
    </xf>
    <xf numFmtId="184" fontId="4" fillId="0" borderId="230" xfId="0" applyNumberFormat="1" applyFont="1" applyBorder="1" applyAlignment="1">
      <alignment horizontal="right" vertical="center"/>
    </xf>
    <xf numFmtId="0" fontId="7" fillId="0" borderId="230" xfId="0" applyFont="1" applyBorder="1" applyAlignment="1">
      <alignment vertical="center"/>
    </xf>
    <xf numFmtId="184" fontId="0" fillId="0" borderId="0" xfId="0" applyNumberFormat="1" applyAlignment="1">
      <alignment vertical="center"/>
    </xf>
    <xf numFmtId="0" fontId="4" fillId="0" borderId="121" xfId="0" applyFont="1" applyBorder="1" applyAlignment="1">
      <alignment vertical="center"/>
    </xf>
    <xf numFmtId="0" fontId="4" fillId="0" borderId="122" xfId="0" applyFont="1" applyBorder="1" applyAlignment="1">
      <alignment vertical="center"/>
    </xf>
    <xf numFmtId="0" fontId="7" fillId="0" borderId="133" xfId="0" applyFont="1" applyBorder="1" applyAlignment="1">
      <alignment vertical="center" wrapText="1"/>
    </xf>
    <xf numFmtId="179" fontId="4" fillId="5" borderId="123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5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15" borderId="134" xfId="1" applyNumberFormat="1" applyFont="1" applyFill="1" applyBorder="1" applyAlignment="1" applyProtection="1">
      <alignment horizontal="right" vertical="center"/>
    </xf>
    <xf numFmtId="179" fontId="4" fillId="15" borderId="0" xfId="1" applyNumberFormat="1" applyFont="1" applyFill="1" applyBorder="1" applyAlignment="1" applyProtection="1">
      <alignment horizontal="right" vertical="center"/>
    </xf>
    <xf numFmtId="179" fontId="4" fillId="15" borderId="135" xfId="1" applyNumberFormat="1" applyFont="1" applyFill="1" applyBorder="1" applyAlignment="1" applyProtection="1">
      <alignment horizontal="right" vertical="center"/>
    </xf>
    <xf numFmtId="179" fontId="4" fillId="15" borderId="47" xfId="1" applyNumberFormat="1" applyFont="1" applyFill="1" applyBorder="1" applyAlignment="1" applyProtection="1">
      <alignment horizontal="right" vertical="center"/>
    </xf>
    <xf numFmtId="179" fontId="4" fillId="15" borderId="47" xfId="0" applyNumberFormat="1" applyFont="1" applyFill="1" applyBorder="1" applyAlignment="1">
      <alignment horizontal="right" vertical="center"/>
    </xf>
    <xf numFmtId="179" fontId="4" fillId="15" borderId="48" xfId="0" applyNumberFormat="1" applyFont="1" applyFill="1" applyBorder="1" applyAlignment="1">
      <alignment horizontal="right" vertical="center"/>
    </xf>
    <xf numFmtId="179" fontId="4" fillId="0" borderId="134" xfId="1" applyNumberFormat="1" applyFont="1" applyFill="1" applyBorder="1" applyAlignment="1" applyProtection="1">
      <alignment horizontal="right" vertical="center"/>
    </xf>
    <xf numFmtId="0" fontId="4" fillId="0" borderId="217" xfId="0" applyFont="1" applyBorder="1" applyAlignment="1">
      <alignment vertical="center"/>
    </xf>
    <xf numFmtId="0" fontId="4" fillId="0" borderId="218" xfId="0" applyFont="1" applyBorder="1" applyAlignment="1">
      <alignment vertical="center"/>
    </xf>
    <xf numFmtId="0" fontId="7" fillId="0" borderId="159" xfId="0" applyFont="1" applyBorder="1" applyAlignment="1">
      <alignment vertical="center"/>
    </xf>
    <xf numFmtId="179" fontId="4" fillId="5" borderId="145" xfId="0" applyNumberFormat="1" applyFont="1" applyFill="1" applyBorder="1" applyAlignment="1">
      <alignment horizontal="right" vertical="center"/>
    </xf>
    <xf numFmtId="179" fontId="4" fillId="0" borderId="143" xfId="0" applyNumberFormat="1" applyFont="1" applyBorder="1" applyAlignment="1">
      <alignment horizontal="right" vertical="center"/>
    </xf>
    <xf numFmtId="179" fontId="4" fillId="0" borderId="158" xfId="0" applyNumberFormat="1" applyFont="1" applyBorder="1" applyAlignment="1">
      <alignment horizontal="right" vertical="center"/>
    </xf>
    <xf numFmtId="179" fontId="4" fillId="0" borderId="225" xfId="0" applyNumberFormat="1" applyFont="1" applyBorder="1" applyAlignment="1">
      <alignment horizontal="right" vertical="center"/>
    </xf>
    <xf numFmtId="179" fontId="4" fillId="0" borderId="145" xfId="1" applyNumberFormat="1" applyFont="1" applyFill="1" applyBorder="1" applyAlignment="1" applyProtection="1">
      <alignment horizontal="right" vertical="center"/>
    </xf>
    <xf numFmtId="179" fontId="4" fillId="5" borderId="227" xfId="1" applyNumberFormat="1" applyFont="1" applyFill="1" applyBorder="1" applyAlignment="1" applyProtection="1">
      <alignment horizontal="right" vertical="center"/>
    </xf>
    <xf numFmtId="184" fontId="4" fillId="0" borderId="241" xfId="0" applyNumberFormat="1" applyFont="1" applyBorder="1" applyAlignment="1">
      <alignment horizontal="right" vertical="center"/>
    </xf>
    <xf numFmtId="179" fontId="4" fillId="0" borderId="242" xfId="0" applyNumberFormat="1" applyFont="1" applyBorder="1" applyAlignment="1">
      <alignment horizontal="right" vertical="center"/>
    </xf>
    <xf numFmtId="179" fontId="4" fillId="0" borderId="229" xfId="0" applyNumberFormat="1" applyFont="1" applyBorder="1" applyAlignment="1">
      <alignment horizontal="right" vertical="center"/>
    </xf>
    <xf numFmtId="184" fontId="4" fillId="0" borderId="237" xfId="0" applyNumberFormat="1" applyFont="1" applyBorder="1" applyAlignment="1">
      <alignment horizontal="right" vertical="center"/>
    </xf>
    <xf numFmtId="179" fontId="4" fillId="0" borderId="227" xfId="1" applyNumberFormat="1" applyFont="1" applyFill="1" applyBorder="1" applyAlignment="1" applyProtection="1">
      <alignment horizontal="right" vertical="center"/>
    </xf>
    <xf numFmtId="179" fontId="4" fillId="0" borderId="244" xfId="0" applyNumberFormat="1" applyFont="1" applyBorder="1" applyAlignment="1">
      <alignment horizontal="right" vertical="center"/>
    </xf>
    <xf numFmtId="184" fontId="4" fillId="0" borderId="238" xfId="0" applyNumberFormat="1" applyFont="1" applyBorder="1" applyAlignment="1">
      <alignment horizontal="right" vertical="center"/>
    </xf>
    <xf numFmtId="179" fontId="4" fillId="0" borderId="235" xfId="0" applyNumberFormat="1" applyFont="1" applyBorder="1" applyAlignment="1">
      <alignment horizontal="right" vertical="center"/>
    </xf>
    <xf numFmtId="184" fontId="4" fillId="0" borderId="240" xfId="0" applyNumberFormat="1" applyFont="1" applyBorder="1" applyAlignment="1">
      <alignment horizontal="right" vertical="center"/>
    </xf>
    <xf numFmtId="179" fontId="4" fillId="0" borderId="233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40" xfId="1" applyNumberFormat="1" applyFont="1" applyFill="1" applyBorder="1" applyAlignment="1" applyProtection="1">
      <alignment horizontal="right" vertical="center"/>
    </xf>
    <xf numFmtId="179" fontId="4" fillId="5" borderId="134" xfId="1" applyNumberFormat="1" applyFont="1" applyFill="1" applyBorder="1" applyAlignment="1" applyProtection="1">
      <alignment horizontal="right" vertical="center"/>
    </xf>
    <xf numFmtId="179" fontId="4" fillId="0" borderId="204" xfId="0" applyNumberFormat="1" applyFont="1" applyBorder="1" applyAlignment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30" xfId="0" applyFont="1" applyBorder="1" applyAlignment="1">
      <alignment vertical="center"/>
    </xf>
    <xf numFmtId="0" fontId="7" fillId="0" borderId="130" xfId="0" applyFont="1" applyBorder="1" applyAlignment="1">
      <alignment vertical="center"/>
    </xf>
    <xf numFmtId="179" fontId="4" fillId="5" borderId="129" xfId="1" applyNumberFormat="1" applyFont="1" applyFill="1" applyBorder="1" applyAlignment="1" applyProtection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2" xfId="0" applyNumberFormat="1" applyFont="1" applyBorder="1" applyAlignment="1">
      <alignment horizontal="right" vertical="center"/>
    </xf>
    <xf numFmtId="179" fontId="4" fillId="0" borderId="129" xfId="1" applyNumberFormat="1" applyFont="1" applyFill="1" applyBorder="1" applyAlignment="1" applyProtection="1">
      <alignment horizontal="right" vertical="center"/>
    </xf>
    <xf numFmtId="179" fontId="4" fillId="15" borderId="136" xfId="1" applyNumberFormat="1" applyFont="1" applyFill="1" applyBorder="1" applyAlignment="1" applyProtection="1">
      <alignment horizontal="right" vertical="center"/>
    </xf>
    <xf numFmtId="179" fontId="4" fillId="0" borderId="136" xfId="1" applyNumberFormat="1" applyFont="1" applyFill="1" applyBorder="1" applyAlignment="1" applyProtection="1">
      <alignment horizontal="right" vertical="center"/>
    </xf>
    <xf numFmtId="179" fontId="5" fillId="6" borderId="140" xfId="1" applyNumberFormat="1" applyFont="1" applyFill="1" applyBorder="1" applyAlignment="1" applyProtection="1">
      <alignment horizontal="right" vertical="center"/>
    </xf>
    <xf numFmtId="179" fontId="8" fillId="0" borderId="141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0" fontId="4" fillId="0" borderId="144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41" fontId="4" fillId="0" borderId="146" xfId="1" applyNumberFormat="1" applyFont="1" applyFill="1" applyBorder="1" applyAlignment="1" applyProtection="1">
      <alignment vertical="center"/>
    </xf>
    <xf numFmtId="41" fontId="4" fillId="0" borderId="147" xfId="1" applyNumberFormat="1" applyFont="1" applyFill="1" applyBorder="1" applyAlignment="1" applyProtection="1">
      <alignment vertical="center"/>
    </xf>
    <xf numFmtId="41" fontId="4" fillId="0" borderId="147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3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6" fontId="4" fillId="0" borderId="135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40" xfId="0" applyFont="1" applyBorder="1" applyAlignment="1">
      <alignment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179" fontId="4" fillId="0" borderId="129" xfId="0" applyNumberFormat="1" applyFont="1" applyBorder="1" applyAlignment="1">
      <alignment vertical="center"/>
    </xf>
    <xf numFmtId="179" fontId="4" fillId="0" borderId="131" xfId="0" applyNumberFormat="1" applyFont="1" applyBorder="1" applyAlignment="1">
      <alignment vertical="center"/>
    </xf>
    <xf numFmtId="0" fontId="4" fillId="0" borderId="152" xfId="0" applyFont="1" applyBorder="1" applyAlignment="1">
      <alignment vertical="center"/>
    </xf>
    <xf numFmtId="179" fontId="4" fillId="0" borderId="132" xfId="0" applyNumberFormat="1" applyFont="1" applyBorder="1" applyAlignment="1">
      <alignment vertical="center"/>
    </xf>
    <xf numFmtId="176" fontId="4" fillId="0" borderId="174" xfId="1" applyNumberFormat="1" applyFont="1" applyBorder="1" applyAlignment="1" applyProtection="1">
      <alignment vertical="center"/>
    </xf>
    <xf numFmtId="176" fontId="4" fillId="0" borderId="175" xfId="1" applyNumberFormat="1" applyFont="1" applyBorder="1" applyAlignment="1" applyProtection="1">
      <alignment vertical="center"/>
    </xf>
    <xf numFmtId="184" fontId="4" fillId="0" borderId="176" xfId="0" applyNumberFormat="1" applyFont="1" applyBorder="1" applyAlignment="1">
      <alignment vertical="center"/>
    </xf>
    <xf numFmtId="176" fontId="4" fillId="0" borderId="175" xfId="0" applyNumberFormat="1" applyFont="1" applyBorder="1" applyAlignment="1">
      <alignment vertical="center"/>
    </xf>
    <xf numFmtId="176" fontId="4" fillId="0" borderId="177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49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9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84" fontId="4" fillId="0" borderId="152" xfId="0" applyNumberFormat="1" applyFont="1" applyBorder="1" applyAlignment="1">
      <alignment vertical="center"/>
    </xf>
    <xf numFmtId="176" fontId="4" fillId="0" borderId="132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135" xfId="0" applyFont="1" applyBorder="1" applyAlignment="1">
      <alignment vertical="center"/>
    </xf>
    <xf numFmtId="0" fontId="16" fillId="12" borderId="31" xfId="0" applyFont="1" applyFill="1" applyBorder="1" applyAlignment="1">
      <alignment horizontal="centerContinuous" vertical="center"/>
    </xf>
    <xf numFmtId="0" fontId="16" fillId="12" borderId="33" xfId="0" applyFont="1" applyFill="1" applyBorder="1" applyAlignment="1">
      <alignment horizontal="centerContinuous" vertical="center"/>
    </xf>
    <xf numFmtId="0" fontId="16" fillId="12" borderId="15" xfId="0" applyFont="1" applyFill="1" applyBorder="1" applyAlignment="1">
      <alignment horizontal="centerContinuous" vertical="center"/>
    </xf>
    <xf numFmtId="0" fontId="16" fillId="12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2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3" xfId="1" applyNumberFormat="1" applyFont="1" applyFill="1" applyBorder="1" applyAlignment="1" applyProtection="1">
      <alignment vertical="center"/>
    </xf>
    <xf numFmtId="0" fontId="0" fillId="0" borderId="212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4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15" xfId="1" applyNumberFormat="1" applyFont="1" applyFill="1" applyBorder="1" applyAlignment="1" applyProtection="1">
      <alignment vertical="center"/>
    </xf>
    <xf numFmtId="0" fontId="0" fillId="0" borderId="214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0" fillId="0" borderId="0" xfId="0" applyAlignment="1">
      <alignment vertical="center" textRotation="255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25" fillId="0" borderId="145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38" fontId="26" fillId="7" borderId="142" xfId="0" applyNumberFormat="1" applyFont="1" applyFill="1" applyBorder="1" applyAlignment="1">
      <alignment horizontal="left" vertical="center"/>
    </xf>
    <xf numFmtId="38" fontId="26" fillId="7" borderId="143" xfId="0" applyNumberFormat="1" applyFont="1" applyFill="1" applyBorder="1" applyAlignment="1">
      <alignment horizontal="left" vertical="center"/>
    </xf>
    <xf numFmtId="38" fontId="25" fillId="7" borderId="144" xfId="0" applyNumberFormat="1" applyFont="1" applyFill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25" fillId="7" borderId="43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38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3" fontId="25" fillId="0" borderId="134" xfId="0" applyNumberFormat="1" applyFont="1" applyBorder="1" applyAlignment="1">
      <alignment horizontal="center" vertical="center"/>
    </xf>
    <xf numFmtId="179" fontId="25" fillId="7" borderId="48" xfId="1" applyNumberFormat="1" applyFont="1" applyFill="1" applyBorder="1" applyAlignment="1" applyProtection="1">
      <alignment vertical="center"/>
    </xf>
    <xf numFmtId="0" fontId="27" fillId="0" borderId="0" xfId="0" applyFont="1" applyAlignment="1">
      <alignment horizontal="left" vertical="center"/>
    </xf>
    <xf numFmtId="0" fontId="26" fillId="8" borderId="43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5" fillId="0" borderId="142" xfId="0" applyFont="1" applyBorder="1" applyAlignment="1">
      <alignment vertical="center"/>
    </xf>
    <xf numFmtId="0" fontId="25" fillId="0" borderId="144" xfId="0" applyFont="1" applyBorder="1" applyAlignment="1">
      <alignment vertical="center"/>
    </xf>
    <xf numFmtId="3" fontId="0" fillId="0" borderId="134" xfId="0" applyNumberFormat="1" applyBorder="1" applyAlignment="1">
      <alignment horizontal="center" vertical="center"/>
    </xf>
    <xf numFmtId="0" fontId="25" fillId="8" borderId="43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179" fontId="25" fillId="8" borderId="48" xfId="1" applyNumberFormat="1" applyFont="1" applyFill="1" applyBorder="1" applyAlignment="1" applyProtection="1">
      <alignment vertical="center"/>
    </xf>
    <xf numFmtId="0" fontId="25" fillId="0" borderId="43" xfId="0" applyFont="1" applyBorder="1" applyAlignment="1">
      <alignment vertical="center"/>
    </xf>
    <xf numFmtId="179" fontId="25" fillId="0" borderId="48" xfId="1" applyNumberFormat="1" applyFont="1" applyBorder="1" applyAlignment="1" applyProtection="1">
      <alignment horizontal="right"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179" fontId="25" fillId="0" borderId="48" xfId="1" applyNumberFormat="1" applyFont="1" applyBorder="1" applyAlignment="1" applyProtection="1">
      <alignment vertical="center"/>
    </xf>
    <xf numFmtId="3" fontId="25" fillId="6" borderId="134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25" fillId="0" borderId="0" xfId="0" applyFont="1" applyAlignment="1">
      <alignment horizontal="centerContinuous" vertical="center" wrapText="1"/>
    </xf>
    <xf numFmtId="3" fontId="0" fillId="6" borderId="134" xfId="0" applyNumberFormat="1" applyFill="1" applyBorder="1" applyAlignment="1">
      <alignment horizontal="center" vertical="center"/>
    </xf>
    <xf numFmtId="38" fontId="25" fillId="0" borderId="0" xfId="1" applyFont="1" applyFill="1" applyBorder="1" applyAlignment="1" applyProtection="1">
      <alignment horizontal="centerContinuous" vertical="center"/>
    </xf>
    <xf numFmtId="0" fontId="0" fillId="6" borderId="140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" fontId="25" fillId="9" borderId="13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3" fontId="25" fillId="9" borderId="9" xfId="0" applyNumberFormat="1" applyFont="1" applyFill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3" fontId="25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3" fontId="25" fillId="6" borderId="145" xfId="0" applyNumberFormat="1" applyFont="1" applyFill="1" applyBorder="1" applyAlignment="1">
      <alignment horizontal="center" vertical="center" wrapText="1"/>
    </xf>
    <xf numFmtId="3" fontId="25" fillId="9" borderId="140" xfId="0" applyNumberFormat="1" applyFont="1" applyFill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38" fontId="25" fillId="0" borderId="140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6" fillId="4" borderId="167" xfId="0" applyFont="1" applyFill="1" applyBorder="1" applyAlignment="1">
      <alignment horizontal="distributed" vertical="center" justifyLastLine="1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183" fontId="4" fillId="0" borderId="0" xfId="0" applyNumberFormat="1" applyFont="1" applyAlignment="1">
      <alignment horizontal="center" vertical="center"/>
    </xf>
    <xf numFmtId="0" fontId="0" fillId="17" borderId="114" xfId="0" applyFill="1" applyBorder="1" applyAlignment="1">
      <alignment vertical="center"/>
    </xf>
    <xf numFmtId="0" fontId="0" fillId="17" borderId="31" xfId="0" applyFill="1" applyBorder="1" applyAlignment="1">
      <alignment horizontal="left" vertical="center"/>
    </xf>
    <xf numFmtId="0" fontId="0" fillId="17" borderId="15" xfId="0" applyFill="1" applyBorder="1" applyAlignment="1">
      <alignment horizontal="left" vertical="center"/>
    </xf>
    <xf numFmtId="179" fontId="0" fillId="17" borderId="33" xfId="1" applyNumberFormat="1" applyFont="1" applyFill="1" applyBorder="1" applyAlignment="1" applyProtection="1">
      <alignment vertical="center"/>
    </xf>
    <xf numFmtId="179" fontId="0" fillId="17" borderId="32" xfId="0" applyNumberFormat="1" applyFill="1" applyBorder="1" applyAlignment="1">
      <alignment horizontal="right" vertical="center"/>
    </xf>
    <xf numFmtId="179" fontId="0" fillId="17" borderId="19" xfId="0" applyNumberFormat="1" applyFill="1" applyBorder="1" applyAlignment="1">
      <alignment vertical="center"/>
    </xf>
    <xf numFmtId="179" fontId="0" fillId="17" borderId="127" xfId="1" applyNumberFormat="1" applyFont="1" applyFill="1" applyBorder="1" applyAlignment="1" applyProtection="1">
      <alignment vertical="center"/>
    </xf>
    <xf numFmtId="179" fontId="0" fillId="17" borderId="50" xfId="0" applyNumberFormat="1" applyFill="1" applyBorder="1" applyAlignment="1">
      <alignment vertical="center"/>
    </xf>
    <xf numFmtId="179" fontId="0" fillId="17" borderId="13" xfId="0" applyNumberFormat="1" applyFill="1" applyBorder="1" applyAlignment="1">
      <alignment vertical="center"/>
    </xf>
    <xf numFmtId="0" fontId="0" fillId="17" borderId="45" xfId="0" applyFill="1" applyBorder="1" applyAlignment="1">
      <alignment horizontal="left" vertical="center"/>
    </xf>
    <xf numFmtId="0" fontId="0" fillId="17" borderId="162" xfId="0" applyFill="1" applyBorder="1" applyAlignment="1">
      <alignment horizontal="left" vertical="center"/>
    </xf>
    <xf numFmtId="179" fontId="0" fillId="17" borderId="245" xfId="1" applyNumberFormat="1" applyFont="1" applyFill="1" applyBorder="1" applyAlignment="1" applyProtection="1">
      <alignment vertical="center"/>
    </xf>
    <xf numFmtId="179" fontId="0" fillId="17" borderId="246" xfId="0" applyNumberFormat="1" applyFill="1" applyBorder="1" applyAlignment="1">
      <alignment vertical="center"/>
    </xf>
    <xf numFmtId="179" fontId="0" fillId="17" borderId="247" xfId="0" applyNumberFormat="1" applyFill="1" applyBorder="1" applyAlignment="1">
      <alignment vertical="center"/>
    </xf>
    <xf numFmtId="0" fontId="0" fillId="17" borderId="12" xfId="0" applyFill="1" applyBorder="1" applyAlignment="1">
      <alignment horizontal="left" vertical="center"/>
    </xf>
    <xf numFmtId="0" fontId="0" fillId="17" borderId="11" xfId="0" applyFill="1" applyBorder="1" applyAlignment="1">
      <alignment horizontal="left" vertical="center"/>
    </xf>
    <xf numFmtId="179" fontId="0" fillId="17" borderId="250" xfId="1" applyNumberFormat="1" applyFont="1" applyFill="1" applyBorder="1" applyAlignment="1" applyProtection="1">
      <alignment vertical="center"/>
    </xf>
    <xf numFmtId="179" fontId="0" fillId="17" borderId="251" xfId="0" applyNumberFormat="1" applyFill="1" applyBorder="1" applyAlignment="1">
      <alignment vertical="center"/>
    </xf>
    <xf numFmtId="179" fontId="0" fillId="17" borderId="252" xfId="0" applyNumberFormat="1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4" fillId="17" borderId="15" xfId="0" applyFont="1" applyFill="1" applyBorder="1" applyAlignment="1">
      <alignment vertical="center" wrapText="1"/>
    </xf>
    <xf numFmtId="179" fontId="0" fillId="17" borderId="15" xfId="1" applyNumberFormat="1" applyFont="1" applyFill="1" applyBorder="1" applyAlignment="1" applyProtection="1">
      <alignment vertical="center"/>
    </xf>
    <xf numFmtId="179" fontId="0" fillId="17" borderId="15" xfId="0" applyNumberFormat="1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17" borderId="0" xfId="0" applyFill="1" applyAlignment="1">
      <alignment vertical="center" wrapText="1"/>
    </xf>
    <xf numFmtId="0" fontId="0" fillId="17" borderId="0" xfId="1" applyNumberFormat="1" applyFont="1" applyFill="1" applyBorder="1" applyAlignment="1" applyProtection="1">
      <alignment vertical="center"/>
    </xf>
    <xf numFmtId="0" fontId="0" fillId="17" borderId="48" xfId="0" applyFill="1" applyBorder="1" applyAlignment="1">
      <alignment vertical="center"/>
    </xf>
    <xf numFmtId="180" fontId="0" fillId="17" borderId="32" xfId="0" applyNumberFormat="1" applyFill="1" applyBorder="1" applyAlignment="1">
      <alignment horizontal="right" vertical="center"/>
    </xf>
    <xf numFmtId="178" fontId="0" fillId="17" borderId="32" xfId="0" applyNumberFormat="1" applyFill="1" applyBorder="1" applyAlignment="1">
      <alignment vertical="center"/>
    </xf>
    <xf numFmtId="0" fontId="0" fillId="17" borderId="209" xfId="0" applyFill="1" applyBorder="1" applyAlignment="1">
      <alignment horizontal="left" vertical="center"/>
    </xf>
    <xf numFmtId="178" fontId="0" fillId="17" borderId="246" xfId="0" applyNumberFormat="1" applyFill="1" applyBorder="1" applyAlignment="1">
      <alignment vertical="center"/>
    </xf>
    <xf numFmtId="0" fontId="0" fillId="17" borderId="127" xfId="0" applyFill="1" applyBorder="1" applyAlignment="1">
      <alignment vertical="center"/>
    </xf>
    <xf numFmtId="0" fontId="0" fillId="17" borderId="210" xfId="0" applyFill="1" applyBorder="1" applyAlignment="1">
      <alignment horizontal="left" vertical="center"/>
    </xf>
    <xf numFmtId="178" fontId="0" fillId="17" borderId="251" xfId="0" applyNumberFormat="1" applyFill="1" applyBorder="1" applyAlignment="1">
      <alignment vertical="center"/>
    </xf>
    <xf numFmtId="0" fontId="4" fillId="17" borderId="47" xfId="0" applyFont="1" applyFill="1" applyBorder="1" applyAlignment="1">
      <alignment vertical="center"/>
    </xf>
    <xf numFmtId="0" fontId="4" fillId="17" borderId="106" xfId="0" applyFont="1" applyFill="1" applyBorder="1" applyAlignment="1">
      <alignment horizontal="right" vertical="center" indent="1"/>
    </xf>
    <xf numFmtId="0" fontId="4" fillId="17" borderId="106" xfId="0" applyFont="1" applyFill="1" applyBorder="1" applyAlignment="1">
      <alignment vertical="center"/>
    </xf>
    <xf numFmtId="179" fontId="4" fillId="17" borderId="107" xfId="1" applyNumberFormat="1" applyFont="1" applyFill="1" applyBorder="1" applyAlignment="1" applyProtection="1">
      <alignment horizontal="right" vertical="center"/>
    </xf>
    <xf numFmtId="179" fontId="4" fillId="17" borderId="106" xfId="0" applyNumberFormat="1" applyFont="1" applyFill="1" applyBorder="1" applyAlignment="1">
      <alignment horizontal="right" vertical="center"/>
    </xf>
    <xf numFmtId="179" fontId="4" fillId="17" borderId="112" xfId="0" applyNumberFormat="1" applyFont="1" applyFill="1" applyBorder="1" applyAlignment="1">
      <alignment horizontal="right" vertical="center"/>
    </xf>
    <xf numFmtId="179" fontId="4" fillId="17" borderId="105" xfId="0" applyNumberFormat="1" applyFont="1" applyFill="1" applyBorder="1" applyAlignment="1">
      <alignment horizontal="right" vertical="center"/>
    </xf>
    <xf numFmtId="179" fontId="4" fillId="17" borderId="113" xfId="0" applyNumberFormat="1" applyFont="1" applyFill="1" applyBorder="1" applyAlignment="1">
      <alignment horizontal="right" vertical="center"/>
    </xf>
    <xf numFmtId="0" fontId="4" fillId="17" borderId="114" xfId="0" applyFont="1" applyFill="1" applyBorder="1" applyAlignment="1">
      <alignment vertical="center"/>
    </xf>
    <xf numFmtId="0" fontId="4" fillId="17" borderId="0" xfId="0" applyFont="1" applyFill="1"/>
    <xf numFmtId="0" fontId="7" fillId="17" borderId="226" xfId="0" applyFont="1" applyFill="1" applyBorder="1" applyAlignment="1">
      <alignment vertical="center" wrapText="1"/>
    </xf>
    <xf numFmtId="179" fontId="4" fillId="17" borderId="227" xfId="0" applyNumberFormat="1" applyFont="1" applyFill="1" applyBorder="1" applyAlignment="1">
      <alignment horizontal="right" vertical="center"/>
    </xf>
    <xf numFmtId="184" fontId="4" fillId="17" borderId="228" xfId="1" applyNumberFormat="1" applyFont="1" applyFill="1" applyBorder="1" applyAlignment="1" applyProtection="1">
      <alignment horizontal="right" vertical="center"/>
    </xf>
    <xf numFmtId="179" fontId="4" fillId="17" borderId="229" xfId="1" applyNumberFormat="1" applyFont="1" applyFill="1" applyBorder="1" applyAlignment="1" applyProtection="1">
      <alignment horizontal="right" vertical="center"/>
    </xf>
    <xf numFmtId="184" fontId="4" fillId="17" borderId="230" xfId="1" applyNumberFormat="1" applyFont="1" applyFill="1" applyBorder="1" applyAlignment="1" applyProtection="1">
      <alignment horizontal="right" vertical="center"/>
    </xf>
    <xf numFmtId="184" fontId="4" fillId="17" borderId="230" xfId="0" applyNumberFormat="1" applyFont="1" applyFill="1" applyBorder="1" applyAlignment="1">
      <alignment horizontal="right" vertical="center"/>
    </xf>
    <xf numFmtId="179" fontId="4" fillId="17" borderId="231" xfId="0" applyNumberFormat="1" applyFont="1" applyFill="1" applyBorder="1" applyAlignment="1">
      <alignment horizontal="right" vertical="center"/>
    </xf>
    <xf numFmtId="0" fontId="4" fillId="17" borderId="105" xfId="0" applyFont="1" applyFill="1" applyBorder="1" applyAlignment="1">
      <alignment vertical="top"/>
    </xf>
    <xf numFmtId="0" fontId="7" fillId="17" borderId="232" xfId="0" applyFont="1" applyFill="1" applyBorder="1" applyAlignment="1">
      <alignment vertical="center" wrapText="1"/>
    </xf>
    <xf numFmtId="179" fontId="4" fillId="17" borderId="233" xfId="0" applyNumberFormat="1" applyFont="1" applyFill="1" applyBorder="1" applyAlignment="1">
      <alignment horizontal="right" vertical="center"/>
    </xf>
    <xf numFmtId="0" fontId="4" fillId="17" borderId="128" xfId="0" applyFont="1" applyFill="1" applyBorder="1" applyAlignment="1">
      <alignment vertical="center"/>
    </xf>
    <xf numFmtId="0" fontId="7" fillId="17" borderId="230" xfId="0" applyFont="1" applyFill="1" applyBorder="1" applyAlignment="1">
      <alignment vertical="center"/>
    </xf>
    <xf numFmtId="0" fontId="0" fillId="17" borderId="205" xfId="0" applyFill="1" applyBorder="1" applyAlignment="1">
      <alignment vertical="center"/>
    </xf>
    <xf numFmtId="0" fontId="7" fillId="17" borderId="238" xfId="0" applyFont="1" applyFill="1" applyBorder="1" applyAlignment="1">
      <alignment vertical="center"/>
    </xf>
    <xf numFmtId="0" fontId="4" fillId="17" borderId="52" xfId="1" applyNumberFormat="1" applyFont="1" applyFill="1" applyBorder="1" applyAlignment="1" applyProtection="1">
      <alignment horizontal="center" vertical="center"/>
    </xf>
    <xf numFmtId="184" fontId="4" fillId="17" borderId="63" xfId="0" applyNumberFormat="1" applyFont="1" applyFill="1" applyBorder="1" applyAlignment="1">
      <alignment vertical="center"/>
    </xf>
    <xf numFmtId="189" fontId="4" fillId="17" borderId="234" xfId="1" applyNumberFormat="1" applyFont="1" applyFill="1" applyBorder="1" applyAlignment="1" applyProtection="1">
      <alignment horizontal="right" vertical="center"/>
    </xf>
    <xf numFmtId="189" fontId="4" fillId="17" borderId="235" xfId="1" applyNumberFormat="1" applyFont="1" applyFill="1" applyBorder="1" applyAlignment="1" applyProtection="1">
      <alignment horizontal="right" vertical="center"/>
    </xf>
    <xf numFmtId="189" fontId="4" fillId="17" borderId="236" xfId="1" applyNumberFormat="1" applyFont="1" applyFill="1" applyBorder="1" applyAlignment="1" applyProtection="1">
      <alignment horizontal="right" vertical="center"/>
    </xf>
    <xf numFmtId="189" fontId="4" fillId="17" borderId="229" xfId="1" applyNumberFormat="1" applyFont="1" applyFill="1" applyBorder="1" applyAlignment="1" applyProtection="1">
      <alignment horizontal="right" vertical="center"/>
    </xf>
    <xf numFmtId="189" fontId="4" fillId="17" borderId="237" xfId="1" applyNumberFormat="1" applyFont="1" applyFill="1" applyBorder="1" applyAlignment="1" applyProtection="1">
      <alignment horizontal="right" vertical="center"/>
    </xf>
    <xf numFmtId="189" fontId="4" fillId="17" borderId="239" xfId="1" applyNumberFormat="1" applyFont="1" applyFill="1" applyBorder="1" applyAlignment="1" applyProtection="1">
      <alignment horizontal="right" vertical="center"/>
    </xf>
    <xf numFmtId="189" fontId="4" fillId="17" borderId="240" xfId="1" applyNumberFormat="1" applyFont="1" applyFill="1" applyBorder="1" applyAlignment="1" applyProtection="1">
      <alignment horizontal="right" vertical="center"/>
    </xf>
    <xf numFmtId="189" fontId="4" fillId="17" borderId="88" xfId="0" applyNumberFormat="1" applyFont="1" applyFill="1" applyBorder="1" applyAlignment="1">
      <alignment vertical="center"/>
    </xf>
    <xf numFmtId="189" fontId="4" fillId="17" borderId="89" xfId="0" applyNumberFormat="1" applyFont="1" applyFill="1" applyBorder="1" applyAlignment="1">
      <alignment vertical="center"/>
    </xf>
    <xf numFmtId="189" fontId="4" fillId="17" borderId="62" xfId="0" applyNumberFormat="1" applyFont="1" applyFill="1" applyBorder="1" applyAlignment="1">
      <alignment vertical="center"/>
    </xf>
    <xf numFmtId="189" fontId="4" fillId="17" borderId="63" xfId="0" applyNumberFormat="1" applyFont="1" applyFill="1" applyBorder="1" applyAlignment="1">
      <alignment vertical="center"/>
    </xf>
    <xf numFmtId="0" fontId="0" fillId="17" borderId="135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vertical="center"/>
    </xf>
    <xf numFmtId="0" fontId="0" fillId="0" borderId="57" xfId="0" applyBorder="1" applyAlignment="1">
      <alignment vertical="center"/>
    </xf>
    <xf numFmtId="179" fontId="0" fillId="0" borderId="263" xfId="0" applyNumberFormat="1" applyBorder="1" applyAlignment="1">
      <alignment vertical="center"/>
    </xf>
    <xf numFmtId="179" fontId="4" fillId="0" borderId="271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84" fontId="4" fillId="0" borderId="272" xfId="0" applyNumberFormat="1" applyFont="1" applyBorder="1" applyAlignment="1">
      <alignment horizontal="right" vertical="center"/>
    </xf>
    <xf numFmtId="0" fontId="32" fillId="8" borderId="0" xfId="0" applyFont="1" applyFill="1" applyAlignment="1">
      <alignment vertical="center"/>
    </xf>
    <xf numFmtId="0" fontId="0" fillId="8" borderId="43" xfId="0" applyFill="1" applyBorder="1" applyAlignment="1">
      <alignment vertical="center"/>
    </xf>
    <xf numFmtId="179" fontId="4" fillId="0" borderId="0" xfId="1" applyNumberFormat="1" applyFont="1" applyFill="1" applyBorder="1" applyAlignment="1" applyProtection="1">
      <protection locked="0"/>
    </xf>
    <xf numFmtId="0" fontId="31" fillId="0" borderId="203" xfId="0" applyFont="1" applyBorder="1" applyAlignment="1">
      <alignment horizontal="center" vertical="center"/>
    </xf>
    <xf numFmtId="0" fontId="31" fillId="0" borderId="78" xfId="0" applyFont="1" applyBorder="1" applyAlignment="1">
      <alignment horizontal="right" vertical="center"/>
    </xf>
    <xf numFmtId="41" fontId="31" fillId="0" borderId="79" xfId="0" applyNumberFormat="1" applyFont="1" applyBorder="1" applyAlignment="1">
      <alignment horizontal="right" vertical="center"/>
    </xf>
    <xf numFmtId="0" fontId="31" fillId="0" borderId="80" xfId="0" applyFont="1" applyBorder="1" applyAlignment="1">
      <alignment vertical="center"/>
    </xf>
    <xf numFmtId="0" fontId="31" fillId="0" borderId="81" xfId="0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0" fontId="7" fillId="0" borderId="47" xfId="0" applyFont="1" applyBorder="1" applyAlignment="1">
      <alignment vertical="center"/>
    </xf>
    <xf numFmtId="179" fontId="4" fillId="5" borderId="273" xfId="1" applyNumberFormat="1" applyFont="1" applyFill="1" applyBorder="1" applyAlignment="1" applyProtection="1">
      <alignment horizontal="right" vertical="center"/>
    </xf>
    <xf numFmtId="184" fontId="4" fillId="0" borderId="43" xfId="0" applyNumberFormat="1" applyFont="1" applyBorder="1" applyAlignment="1">
      <alignment horizontal="right" vertical="center"/>
    </xf>
    <xf numFmtId="0" fontId="7" fillId="0" borderId="238" xfId="0" applyFont="1" applyBorder="1" applyAlignment="1">
      <alignment vertical="center" shrinkToFit="1"/>
    </xf>
    <xf numFmtId="184" fontId="4" fillId="0" borderId="243" xfId="0" applyNumberFormat="1" applyFont="1" applyBorder="1" applyAlignment="1">
      <alignment horizontal="right" vertical="center"/>
    </xf>
    <xf numFmtId="0" fontId="33" fillId="0" borderId="0" xfId="0" applyFont="1" applyAlignment="1">
      <alignment vertical="top"/>
    </xf>
    <xf numFmtId="0" fontId="0" fillId="0" borderId="269" xfId="0" applyBorder="1" applyAlignment="1">
      <alignment horizontal="left" vertical="center"/>
    </xf>
    <xf numFmtId="0" fontId="0" fillId="0" borderId="270" xfId="0" applyBorder="1" applyAlignment="1">
      <alignment horizontal="left" vertical="center"/>
    </xf>
    <xf numFmtId="179" fontId="1" fillId="0" borderId="265" xfId="1" applyNumberFormat="1" applyFont="1" applyBorder="1" applyAlignment="1" applyProtection="1">
      <alignment vertical="center"/>
    </xf>
    <xf numFmtId="179" fontId="1" fillId="0" borderId="266" xfId="0" applyNumberFormat="1" applyFont="1" applyBorder="1" applyAlignment="1">
      <alignment vertical="center"/>
    </xf>
    <xf numFmtId="179" fontId="1" fillId="0" borderId="127" xfId="1" applyNumberFormat="1" applyFont="1" applyBorder="1" applyAlignment="1" applyProtection="1">
      <alignment vertical="center"/>
    </xf>
    <xf numFmtId="179" fontId="1" fillId="0" borderId="50" xfId="0" applyNumberFormat="1" applyFont="1" applyBorder="1" applyAlignment="1">
      <alignment vertical="center"/>
    </xf>
    <xf numFmtId="187" fontId="4" fillId="0" borderId="77" xfId="0" applyNumberFormat="1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4" fillId="0" borderId="202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179" fontId="0" fillId="0" borderId="206" xfId="0" applyNumberFormat="1" applyBorder="1" applyAlignment="1">
      <alignment horizontal="right" vertical="center"/>
    </xf>
    <xf numFmtId="0" fontId="0" fillId="0" borderId="162" xfId="0" applyBorder="1" applyAlignment="1">
      <alignment vertical="center"/>
    </xf>
    <xf numFmtId="0" fontId="4" fillId="0" borderId="259" xfId="0" applyFont="1" applyBorder="1" applyAlignment="1">
      <alignment vertical="center"/>
    </xf>
    <xf numFmtId="0" fontId="4" fillId="0" borderId="245" xfId="0" applyFont="1" applyBorder="1" applyAlignment="1">
      <alignment vertical="center"/>
    </xf>
    <xf numFmtId="3" fontId="25" fillId="9" borderId="145" xfId="0" applyNumberFormat="1" applyFont="1" applyFill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5" fillId="8" borderId="82" xfId="0" applyFont="1" applyFill="1" applyBorder="1" applyAlignment="1">
      <alignment vertical="center"/>
    </xf>
    <xf numFmtId="0" fontId="25" fillId="8" borderId="84" xfId="0" applyFont="1" applyFill="1" applyBorder="1" applyAlignment="1">
      <alignment vertical="center"/>
    </xf>
    <xf numFmtId="179" fontId="25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25" fillId="0" borderId="82" xfId="0" applyFont="1" applyBorder="1" applyAlignment="1">
      <alignment vertical="center"/>
    </xf>
    <xf numFmtId="3" fontId="25" fillId="9" borderId="134" xfId="0" applyNumberFormat="1" applyFont="1" applyFill="1" applyBorder="1" applyAlignment="1">
      <alignment horizontal="center" vertical="center" shrinkToFit="1"/>
    </xf>
    <xf numFmtId="0" fontId="4" fillId="0" borderId="47" xfId="0" applyFont="1" applyBorder="1" applyAlignment="1">
      <alignment vertical="center"/>
    </xf>
    <xf numFmtId="184" fontId="4" fillId="0" borderId="0" xfId="0" applyNumberFormat="1" applyFont="1" applyAlignment="1">
      <alignment horizontal="right" vertical="center"/>
    </xf>
    <xf numFmtId="179" fontId="4" fillId="0" borderId="135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15" borderId="69" xfId="1" applyNumberFormat="1" applyFont="1" applyFill="1" applyBorder="1" applyAlignment="1" applyProtection="1">
      <alignment horizontal="right" vertical="center"/>
    </xf>
    <xf numFmtId="179" fontId="4" fillId="15" borderId="162" xfId="1" applyNumberFormat="1" applyFont="1" applyFill="1" applyBorder="1" applyAlignment="1" applyProtection="1">
      <alignment horizontal="right" vertical="center"/>
    </xf>
    <xf numFmtId="179" fontId="4" fillId="15" borderId="173" xfId="1" applyNumberFormat="1" applyFont="1" applyFill="1" applyBorder="1" applyAlignment="1" applyProtection="1">
      <alignment horizontal="right" vertical="center"/>
    </xf>
    <xf numFmtId="179" fontId="4" fillId="15" borderId="45" xfId="1" applyNumberFormat="1" applyFont="1" applyFill="1" applyBorder="1" applyAlignment="1" applyProtection="1">
      <alignment horizontal="right" vertical="center"/>
    </xf>
    <xf numFmtId="179" fontId="4" fillId="15" borderId="45" xfId="0" applyNumberFormat="1" applyFont="1" applyFill="1" applyBorder="1" applyAlignment="1">
      <alignment horizontal="right" vertical="center"/>
    </xf>
    <xf numFmtId="179" fontId="4" fillId="15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7" fillId="0" borderId="143" xfId="0" applyFont="1" applyBorder="1" applyAlignment="1">
      <alignment vertical="center"/>
    </xf>
    <xf numFmtId="179" fontId="4" fillId="5" borderId="145" xfId="1" applyNumberFormat="1" applyFont="1" applyFill="1" applyBorder="1" applyAlignment="1" applyProtection="1">
      <alignment horizontal="right" vertical="center"/>
    </xf>
    <xf numFmtId="179" fontId="4" fillId="0" borderId="274" xfId="0" applyNumberFormat="1" applyFont="1" applyBorder="1" applyAlignment="1">
      <alignment horizontal="right" vertical="center"/>
    </xf>
    <xf numFmtId="179" fontId="4" fillId="15" borderId="137" xfId="0" applyNumberFormat="1" applyFont="1" applyFill="1" applyBorder="1" applyAlignment="1">
      <alignment horizontal="right" vertical="center"/>
    </xf>
    <xf numFmtId="179" fontId="4" fillId="15" borderId="275" xfId="0" applyNumberFormat="1" applyFont="1" applyFill="1" applyBorder="1" applyAlignment="1">
      <alignment horizontal="right" vertical="center"/>
    </xf>
    <xf numFmtId="179" fontId="4" fillId="15" borderId="138" xfId="0" applyNumberFormat="1" applyFont="1" applyFill="1" applyBorder="1" applyAlignment="1">
      <alignment horizontal="right" vertical="center"/>
    </xf>
    <xf numFmtId="179" fontId="4" fillId="15" borderId="139" xfId="0" applyNumberFormat="1" applyFont="1" applyFill="1" applyBorder="1" applyAlignment="1">
      <alignment horizontal="right" vertical="center"/>
    </xf>
    <xf numFmtId="179" fontId="0" fillId="0" borderId="114" xfId="0" applyNumberForma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0" fontId="23" fillId="13" borderId="277" xfId="0" applyFont="1" applyFill="1" applyBorder="1" applyAlignment="1">
      <alignment horizontal="center" vertical="center"/>
    </xf>
    <xf numFmtId="0" fontId="23" fillId="13" borderId="207" xfId="0" applyFont="1" applyFill="1" applyBorder="1" applyAlignment="1">
      <alignment horizontal="center" vertical="center"/>
    </xf>
    <xf numFmtId="0" fontId="23" fillId="13" borderId="206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90" fontId="4" fillId="0" borderId="32" xfId="0" applyNumberFormat="1" applyFont="1" applyBorder="1" applyAlignment="1">
      <alignment vertical="center"/>
    </xf>
    <xf numFmtId="191" fontId="4" fillId="0" borderId="32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191" fontId="4" fillId="0" borderId="38" xfId="0" applyNumberFormat="1" applyFont="1" applyBorder="1" applyAlignment="1">
      <alignment vertical="center"/>
    </xf>
    <xf numFmtId="0" fontId="4" fillId="0" borderId="256" xfId="0" applyFon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0" borderId="33" xfId="1" applyNumberFormat="1" applyFont="1" applyBorder="1" applyAlignment="1" applyProtection="1">
      <alignment horizontal="center" vertical="center"/>
    </xf>
    <xf numFmtId="0" fontId="25" fillId="7" borderId="82" xfId="0" applyFont="1" applyFill="1" applyBorder="1" applyAlignment="1">
      <alignment vertical="center"/>
    </xf>
    <xf numFmtId="179" fontId="25" fillId="7" borderId="48" xfId="0" applyNumberFormat="1" applyFont="1" applyFill="1" applyBorder="1" applyAlignment="1">
      <alignment vertical="center"/>
    </xf>
    <xf numFmtId="192" fontId="25" fillId="8" borderId="85" xfId="1" applyNumberFormat="1" applyFont="1" applyFill="1" applyBorder="1" applyAlignment="1" applyProtection="1">
      <alignment horizontal="right" vertical="center"/>
    </xf>
    <xf numFmtId="179" fontId="1" fillId="8" borderId="48" xfId="1" applyNumberFormat="1" applyFont="1" applyFill="1" applyBorder="1" applyAlignment="1" applyProtection="1">
      <alignment vertical="center"/>
    </xf>
    <xf numFmtId="192" fontId="25" fillId="7" borderId="85" xfId="1" applyNumberFormat="1" applyFont="1" applyFill="1" applyBorder="1" applyAlignment="1" applyProtection="1">
      <alignment horizontal="right" vertical="center"/>
    </xf>
    <xf numFmtId="0" fontId="25" fillId="7" borderId="84" xfId="0" applyFont="1" applyFill="1" applyBorder="1" applyAlignment="1">
      <alignment vertical="center"/>
    </xf>
    <xf numFmtId="38" fontId="25" fillId="0" borderId="0" xfId="0" applyNumberFormat="1" applyFont="1" applyAlignment="1">
      <alignment horizontal="centerContinuous" vertical="center"/>
    </xf>
    <xf numFmtId="0" fontId="0" fillId="0" borderId="106" xfId="0" applyBorder="1" applyAlignment="1">
      <alignment vertical="center"/>
    </xf>
    <xf numFmtId="179" fontId="4" fillId="0" borderId="134" xfId="0" applyNumberFormat="1" applyFont="1" applyBorder="1" applyAlignment="1">
      <alignment horizontal="right" vertical="center"/>
    </xf>
    <xf numFmtId="0" fontId="4" fillId="0" borderId="279" xfId="0" applyFont="1" applyBorder="1" applyAlignment="1">
      <alignment vertical="center"/>
    </xf>
    <xf numFmtId="0" fontId="0" fillId="0" borderId="161" xfId="0" applyBorder="1" applyAlignment="1">
      <alignment vertical="center"/>
    </xf>
    <xf numFmtId="0" fontId="0" fillId="0" borderId="255" xfId="0" applyBorder="1" applyAlignment="1">
      <alignment vertical="center"/>
    </xf>
    <xf numFmtId="41" fontId="10" fillId="4" borderId="281" xfId="0" applyNumberFormat="1" applyFont="1" applyFill="1" applyBorder="1" applyAlignment="1">
      <alignment horizontal="center" vertical="center"/>
    </xf>
    <xf numFmtId="179" fontId="4" fillId="0" borderId="282" xfId="0" applyNumberFormat="1" applyFont="1" applyBorder="1" applyAlignment="1">
      <alignment vertical="center"/>
    </xf>
    <xf numFmtId="176" fontId="4" fillId="0" borderId="283" xfId="0" applyNumberFormat="1" applyFont="1" applyBorder="1" applyAlignment="1">
      <alignment vertical="center"/>
    </xf>
    <xf numFmtId="176" fontId="4" fillId="0" borderId="284" xfId="0" applyNumberFormat="1" applyFont="1" applyBorder="1" applyAlignment="1">
      <alignment vertical="center"/>
    </xf>
    <xf numFmtId="176" fontId="4" fillId="0" borderId="282" xfId="0" applyNumberFormat="1" applyFont="1" applyBorder="1" applyAlignment="1">
      <alignment vertical="center"/>
    </xf>
    <xf numFmtId="176" fontId="4" fillId="0" borderId="281" xfId="0" applyNumberFormat="1" applyFont="1" applyBorder="1" applyAlignment="1">
      <alignment vertical="center"/>
    </xf>
    <xf numFmtId="179" fontId="4" fillId="0" borderId="102" xfId="0" applyNumberFormat="1" applyFont="1" applyBorder="1" applyAlignment="1">
      <alignment vertical="center"/>
    </xf>
    <xf numFmtId="189" fontId="4" fillId="0" borderId="110" xfId="1" applyNumberFormat="1" applyFont="1" applyFill="1" applyBorder="1" applyAlignment="1" applyProtection="1">
      <alignment horizontal="right" vertical="center"/>
    </xf>
    <xf numFmtId="189" fontId="4" fillId="0" borderId="285" xfId="1" applyNumberFormat="1" applyFont="1" applyFill="1" applyBorder="1" applyAlignment="1" applyProtection="1">
      <alignment horizontal="right" vertical="center"/>
    </xf>
    <xf numFmtId="189" fontId="4" fillId="0" borderId="116" xfId="1" applyNumberFormat="1" applyFont="1" applyFill="1" applyBorder="1" applyAlignment="1" applyProtection="1">
      <alignment horizontal="right" vertical="center"/>
    </xf>
    <xf numFmtId="193" fontId="4" fillId="0" borderId="285" xfId="1" applyNumberFormat="1" applyFont="1" applyFill="1" applyBorder="1" applyAlignment="1" applyProtection="1">
      <alignment horizontal="right" vertical="center"/>
    </xf>
    <xf numFmtId="193" fontId="4" fillId="0" borderId="110" xfId="1" applyNumberFormat="1" applyFont="1" applyFill="1" applyBorder="1" applyAlignment="1" applyProtection="1">
      <alignment horizontal="right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179" fontId="1" fillId="5" borderId="213" xfId="1" applyNumberFormat="1" applyFont="1" applyFill="1" applyBorder="1" applyAlignment="1" applyProtection="1">
      <alignment vertical="center"/>
    </xf>
    <xf numFmtId="192" fontId="25" fillId="0" borderId="85" xfId="1" applyNumberFormat="1" applyFont="1" applyBorder="1" applyAlignment="1" applyProtection="1">
      <alignment horizontal="right" vertical="center"/>
    </xf>
    <xf numFmtId="0" fontId="23" fillId="11" borderId="156" xfId="0" applyFont="1" applyFill="1" applyBorder="1" applyAlignment="1">
      <alignment vertical="center"/>
    </xf>
    <xf numFmtId="181" fontId="4" fillId="10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4" fillId="3" borderId="84" xfId="0" applyFont="1" applyFill="1" applyBorder="1" applyAlignment="1">
      <alignment vertical="center"/>
    </xf>
    <xf numFmtId="0" fontId="25" fillId="0" borderId="0" xfId="0" applyFont="1" applyAlignment="1">
      <alignment horizontal="right" vertical="center" indent="1"/>
    </xf>
    <xf numFmtId="38" fontId="25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0" fillId="0" borderId="140" xfId="0" applyBorder="1" applyAlignment="1">
      <alignment horizontal="center" vertical="center"/>
    </xf>
    <xf numFmtId="41" fontId="31" fillId="0" borderId="161" xfId="0" applyNumberFormat="1" applyFont="1" applyBorder="1" applyAlignment="1">
      <alignment vertical="center"/>
    </xf>
    <xf numFmtId="41" fontId="31" fillId="0" borderId="19" xfId="0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31" fillId="0" borderId="14" xfId="1" applyFont="1" applyBorder="1" applyAlignment="1">
      <alignment vertical="center"/>
    </xf>
    <xf numFmtId="38" fontId="31" fillId="0" borderId="140" xfId="1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41" fontId="31" fillId="0" borderId="68" xfId="0" applyNumberFormat="1" applyFont="1" applyBorder="1" applyAlignment="1">
      <alignment vertical="center"/>
    </xf>
    <xf numFmtId="181" fontId="34" fillId="18" borderId="11" xfId="0" applyNumberFormat="1" applyFont="1" applyFill="1" applyBorder="1" applyAlignment="1">
      <alignment vertical="center" wrapText="1"/>
    </xf>
    <xf numFmtId="12" fontId="36" fillId="18" borderId="155" xfId="0" applyNumberFormat="1" applyFont="1" applyFill="1" applyBorder="1" applyAlignment="1">
      <alignment vertical="center"/>
    </xf>
    <xf numFmtId="12" fontId="36" fillId="18" borderId="10" xfId="0" applyNumberFormat="1" applyFont="1" applyFill="1" applyBorder="1" applyAlignment="1">
      <alignment vertical="center"/>
    </xf>
    <xf numFmtId="41" fontId="34" fillId="18" borderId="9" xfId="0" applyNumberFormat="1" applyFont="1" applyFill="1" applyBorder="1" applyAlignment="1">
      <alignment vertical="center"/>
    </xf>
    <xf numFmtId="0" fontId="34" fillId="18" borderId="15" xfId="0" applyFont="1" applyFill="1" applyBorder="1" applyAlignment="1">
      <alignment vertical="center" wrapText="1"/>
    </xf>
    <xf numFmtId="12" fontId="36" fillId="18" borderId="28" xfId="0" applyNumberFormat="1" applyFont="1" applyFill="1" applyBorder="1" applyAlignment="1">
      <alignment vertical="center"/>
    </xf>
    <xf numFmtId="12" fontId="36" fillId="18" borderId="16" xfId="0" applyNumberFormat="1" applyFont="1" applyFill="1" applyBorder="1" applyAlignment="1">
      <alignment vertical="center"/>
    </xf>
    <xf numFmtId="41" fontId="34" fillId="18" borderId="14" xfId="0" applyNumberFormat="1" applyFont="1" applyFill="1" applyBorder="1" applyAlignment="1">
      <alignment vertical="center"/>
    </xf>
    <xf numFmtId="181" fontId="34" fillId="18" borderId="15" xfId="0" applyNumberFormat="1" applyFont="1" applyFill="1" applyBorder="1" applyAlignment="1">
      <alignment vertical="center" wrapText="1"/>
    </xf>
    <xf numFmtId="0" fontId="34" fillId="18" borderId="15" xfId="0" applyFont="1" applyFill="1" applyBorder="1" applyAlignment="1">
      <alignment wrapText="1"/>
    </xf>
    <xf numFmtId="0" fontId="34" fillId="18" borderId="20" xfId="0" applyFont="1" applyFill="1" applyBorder="1" applyAlignment="1">
      <alignment wrapText="1"/>
    </xf>
    <xf numFmtId="12" fontId="36" fillId="18" borderId="34" xfId="0" applyNumberFormat="1" applyFont="1" applyFill="1" applyBorder="1" applyAlignment="1">
      <alignment vertical="center"/>
    </xf>
    <xf numFmtId="12" fontId="36" fillId="18" borderId="18" xfId="0" applyNumberFormat="1" applyFont="1" applyFill="1" applyBorder="1" applyAlignment="1">
      <alignment vertical="center"/>
    </xf>
    <xf numFmtId="41" fontId="34" fillId="18" borderId="17" xfId="0" applyNumberFormat="1" applyFont="1" applyFill="1" applyBorder="1" applyAlignment="1">
      <alignment vertical="center"/>
    </xf>
    <xf numFmtId="38" fontId="31" fillId="18" borderId="9" xfId="1" applyFont="1" applyFill="1" applyBorder="1" applyAlignment="1" applyProtection="1">
      <alignment vertical="center"/>
    </xf>
    <xf numFmtId="38" fontId="31" fillId="18" borderId="14" xfId="1" applyFont="1" applyFill="1" applyBorder="1" applyAlignment="1" applyProtection="1">
      <alignment vertical="center"/>
    </xf>
    <xf numFmtId="38" fontId="31" fillId="18" borderId="140" xfId="1" applyFont="1" applyFill="1" applyBorder="1" applyAlignment="1" applyProtection="1">
      <alignment vertical="center"/>
    </xf>
    <xf numFmtId="0" fontId="4" fillId="18" borderId="16" xfId="0" applyFont="1" applyFill="1" applyBorder="1" applyAlignment="1">
      <alignment vertical="center"/>
    </xf>
    <xf numFmtId="0" fontId="4" fillId="18" borderId="18" xfId="0" applyFont="1" applyFill="1" applyBorder="1" applyAlignment="1">
      <alignment vertical="center"/>
    </xf>
    <xf numFmtId="41" fontId="31" fillId="18" borderId="51" xfId="0" applyNumberFormat="1" applyFont="1" applyFill="1" applyBorder="1" applyAlignment="1">
      <alignment vertical="center"/>
    </xf>
    <xf numFmtId="41" fontId="4" fillId="18" borderId="19" xfId="0" applyNumberFormat="1" applyFont="1" applyFill="1" applyBorder="1" applyAlignment="1">
      <alignment vertical="center"/>
    </xf>
    <xf numFmtId="41" fontId="31" fillId="18" borderId="46" xfId="0" applyNumberFormat="1" applyFont="1" applyFill="1" applyBorder="1" applyAlignment="1">
      <alignment vertical="center"/>
    </xf>
    <xf numFmtId="41" fontId="4" fillId="18" borderId="68" xfId="0" applyNumberFormat="1" applyFont="1" applyFill="1" applyBorder="1" applyAlignment="1">
      <alignment vertical="center"/>
    </xf>
    <xf numFmtId="38" fontId="4" fillId="18" borderId="22" xfId="1" applyFont="1" applyFill="1" applyBorder="1" applyAlignment="1" applyProtection="1">
      <alignment vertical="center"/>
    </xf>
    <xf numFmtId="38" fontId="4" fillId="18" borderId="18" xfId="1" applyFont="1" applyFill="1" applyBorder="1" applyAlignment="1" applyProtection="1">
      <alignment vertical="center"/>
    </xf>
    <xf numFmtId="0" fontId="9" fillId="0" borderId="163" xfId="0" applyFont="1" applyBorder="1" applyAlignment="1">
      <alignment horizontal="distributed" vertical="center" justifyLastLine="1"/>
    </xf>
    <xf numFmtId="0" fontId="9" fillId="0" borderId="164" xfId="0" applyFont="1" applyBorder="1" applyAlignment="1">
      <alignment horizontal="distributed" vertical="center" justifyLastLine="1"/>
    </xf>
    <xf numFmtId="0" fontId="9" fillId="0" borderId="167" xfId="0" applyFont="1" applyBorder="1" applyAlignment="1">
      <alignment horizontal="distributed" vertical="center" justifyLastLine="1"/>
    </xf>
    <xf numFmtId="0" fontId="0" fillId="0" borderId="33" xfId="0" applyBorder="1" applyAlignment="1">
      <alignment horizontal="center" vertical="center" textRotation="255"/>
    </xf>
    <xf numFmtId="0" fontId="4" fillId="0" borderId="267" xfId="0" applyFont="1" applyBorder="1" applyAlignment="1">
      <alignment vertical="center" wrapText="1"/>
    </xf>
    <xf numFmtId="0" fontId="4" fillId="0" borderId="268" xfId="0" applyFont="1" applyBorder="1" applyAlignment="1">
      <alignment vertical="center" wrapText="1"/>
    </xf>
    <xf numFmtId="0" fontId="4" fillId="0" borderId="265" xfId="0" applyFont="1" applyBorder="1" applyAlignment="1">
      <alignment vertical="center" wrapText="1"/>
    </xf>
    <xf numFmtId="0" fontId="4" fillId="17" borderId="258" xfId="0" applyFont="1" applyFill="1" applyBorder="1" applyAlignment="1">
      <alignment vertical="center"/>
    </xf>
    <xf numFmtId="0" fontId="4" fillId="17" borderId="260" xfId="0" applyFont="1" applyFill="1" applyBorder="1" applyAlignment="1">
      <alignment vertical="center"/>
    </xf>
    <xf numFmtId="0" fontId="4" fillId="17" borderId="250" xfId="0" applyFont="1" applyFill="1" applyBorder="1" applyAlignment="1">
      <alignment vertical="center"/>
    </xf>
    <xf numFmtId="0" fontId="0" fillId="0" borderId="165" xfId="0" applyBorder="1" applyAlignment="1">
      <alignment horizontal="center" vertical="center" textRotation="255" wrapText="1"/>
    </xf>
    <xf numFmtId="0" fontId="0" fillId="0" borderId="178" xfId="0" applyBorder="1" applyAlignment="1">
      <alignment horizontal="center" vertical="center" textRotation="255" wrapText="1"/>
    </xf>
    <xf numFmtId="0" fontId="0" fillId="0" borderId="165" xfId="0" applyBorder="1" applyAlignment="1">
      <alignment vertical="center" textRotation="255"/>
    </xf>
    <xf numFmtId="0" fontId="0" fillId="0" borderId="178" xfId="0" applyBorder="1" applyAlignment="1">
      <alignment vertical="center" textRotation="255"/>
    </xf>
    <xf numFmtId="0" fontId="4" fillId="0" borderId="278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170" xfId="0" applyFont="1" applyBorder="1" applyAlignment="1">
      <alignment vertical="center"/>
    </xf>
    <xf numFmtId="0" fontId="16" fillId="4" borderId="163" xfId="0" applyFont="1" applyFill="1" applyBorder="1" applyAlignment="1">
      <alignment horizontal="distributed" vertical="center" justifyLastLine="1"/>
    </xf>
    <xf numFmtId="0" fontId="16" fillId="4" borderId="164" xfId="0" applyFont="1" applyFill="1" applyBorder="1" applyAlignment="1">
      <alignment horizontal="distributed" vertical="center" justifyLastLine="1"/>
    </xf>
    <xf numFmtId="0" fontId="16" fillId="4" borderId="167" xfId="0" applyFont="1" applyFill="1" applyBorder="1" applyAlignment="1">
      <alignment horizontal="distributed" vertical="center" justifyLastLine="1"/>
    </xf>
    <xf numFmtId="0" fontId="4" fillId="17" borderId="256" xfId="0" applyFont="1" applyFill="1" applyBorder="1" applyAlignment="1">
      <alignment vertical="center"/>
    </xf>
    <xf numFmtId="0" fontId="4" fillId="17" borderId="15" xfId="0" applyFont="1" applyFill="1" applyBorder="1" applyAlignment="1">
      <alignment vertical="center"/>
    </xf>
    <xf numFmtId="0" fontId="4" fillId="17" borderId="3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4" fillId="17" borderId="257" xfId="0" applyFont="1" applyFill="1" applyBorder="1" applyAlignment="1">
      <alignment vertical="center"/>
    </xf>
    <xf numFmtId="0" fontId="4" fillId="17" borderId="259" xfId="0" applyFont="1" applyFill="1" applyBorder="1" applyAlignment="1">
      <alignment vertical="center"/>
    </xf>
    <xf numFmtId="0" fontId="4" fillId="17" borderId="245" xfId="0" applyFont="1" applyFill="1" applyBorder="1" applyAlignment="1">
      <alignment vertical="center"/>
    </xf>
    <xf numFmtId="0" fontId="16" fillId="4" borderId="142" xfId="0" applyFont="1" applyFill="1" applyBorder="1" applyAlignment="1">
      <alignment horizontal="center" vertical="center"/>
    </xf>
    <xf numFmtId="0" fontId="16" fillId="4" borderId="143" xfId="0" applyFont="1" applyFill="1" applyBorder="1" applyAlignment="1">
      <alignment horizontal="center" vertical="center"/>
    </xf>
    <xf numFmtId="0" fontId="16" fillId="4" borderId="158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70" xfId="0" applyFont="1" applyFill="1" applyBorder="1" applyAlignment="1">
      <alignment horizontal="center" vertical="center"/>
    </xf>
    <xf numFmtId="0" fontId="0" fillId="0" borderId="184" xfId="0" applyBorder="1" applyAlignment="1">
      <alignment vertical="center" textRotation="255"/>
    </xf>
    <xf numFmtId="0" fontId="0" fillId="0" borderId="178" xfId="0" applyBorder="1" applyAlignment="1">
      <alignment vertical="center"/>
    </xf>
    <xf numFmtId="179" fontId="0" fillId="0" borderId="44" xfId="1" applyNumberFormat="1" applyFont="1" applyFill="1" applyBorder="1" applyAlignment="1" applyProtection="1">
      <alignment vertical="center"/>
    </xf>
    <xf numFmtId="179" fontId="0" fillId="0" borderId="173" xfId="1" applyNumberFormat="1" applyFont="1" applyFill="1" applyBorder="1" applyAlignment="1" applyProtection="1">
      <alignment vertical="center"/>
    </xf>
    <xf numFmtId="179" fontId="0" fillId="0" borderId="216" xfId="1" applyNumberFormat="1" applyFont="1" applyFill="1" applyBorder="1" applyAlignment="1" applyProtection="1">
      <alignment vertical="center"/>
    </xf>
    <xf numFmtId="179" fontId="0" fillId="0" borderId="127" xfId="1" applyNumberFormat="1" applyFont="1" applyFill="1" applyBorder="1" applyAlignment="1" applyProtection="1">
      <alignment vertical="center"/>
    </xf>
    <xf numFmtId="179" fontId="0" fillId="0" borderId="160" xfId="1" applyNumberFormat="1" applyFont="1" applyFill="1" applyBorder="1" applyAlignment="1" applyProtection="1">
      <alignment horizontal="right" vertical="center"/>
    </xf>
    <xf numFmtId="179" fontId="0" fillId="0" borderId="193" xfId="1" applyNumberFormat="1" applyFont="1" applyFill="1" applyBorder="1" applyAlignment="1" applyProtection="1">
      <alignment horizontal="right" vertical="center"/>
    </xf>
    <xf numFmtId="179" fontId="0" fillId="17" borderId="49" xfId="0" applyNumberFormat="1" applyFill="1" applyBorder="1" applyAlignment="1">
      <alignment vertical="center"/>
    </xf>
    <xf numFmtId="179" fontId="0" fillId="17" borderId="15" xfId="0" applyNumberFormat="1" applyFill="1" applyBorder="1" applyAlignment="1">
      <alignment vertical="center"/>
    </xf>
    <xf numFmtId="179" fontId="0" fillId="17" borderId="49" xfId="1" applyNumberFormat="1" applyFont="1" applyFill="1" applyBorder="1" applyAlignment="1" applyProtection="1">
      <alignment vertical="center"/>
    </xf>
    <xf numFmtId="179" fontId="0" fillId="17" borderId="33" xfId="1" applyNumberFormat="1" applyFont="1" applyFill="1" applyBorder="1" applyAlignment="1" applyProtection="1">
      <alignment vertical="center"/>
    </xf>
    <xf numFmtId="179" fontId="0" fillId="0" borderId="264" xfId="1" applyNumberFormat="1" applyFont="1" applyFill="1" applyBorder="1" applyAlignment="1" applyProtection="1">
      <alignment vertical="center"/>
    </xf>
    <xf numFmtId="179" fontId="0" fillId="0" borderId="265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156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0" fontId="16" fillId="4" borderId="180" xfId="0" applyFont="1" applyFill="1" applyBorder="1" applyAlignment="1">
      <alignment horizontal="center" vertical="center"/>
    </xf>
    <xf numFmtId="0" fontId="16" fillId="4" borderId="181" xfId="0" applyFont="1" applyFill="1" applyBorder="1" applyAlignment="1">
      <alignment horizontal="center" vertical="center"/>
    </xf>
    <xf numFmtId="0" fontId="4" fillId="0" borderId="26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7" xfId="0" applyFont="1" applyBorder="1" applyAlignment="1">
      <alignment vertical="center" wrapText="1"/>
    </xf>
    <xf numFmtId="0" fontId="4" fillId="17" borderId="257" xfId="0" applyFont="1" applyFill="1" applyBorder="1" applyAlignment="1">
      <alignment vertical="center" wrapText="1"/>
    </xf>
    <xf numFmtId="0" fontId="4" fillId="17" borderId="259" xfId="0" applyFont="1" applyFill="1" applyBorder="1" applyAlignment="1">
      <alignment vertical="center" wrapText="1"/>
    </xf>
    <xf numFmtId="0" fontId="4" fillId="17" borderId="245" xfId="0" applyFont="1" applyFill="1" applyBorder="1" applyAlignment="1">
      <alignment vertical="center" wrapText="1"/>
    </xf>
    <xf numFmtId="179" fontId="0" fillId="17" borderId="216" xfId="1" applyNumberFormat="1" applyFont="1" applyFill="1" applyBorder="1" applyAlignment="1" applyProtection="1">
      <alignment vertical="center"/>
    </xf>
    <xf numFmtId="179" fontId="0" fillId="17" borderId="127" xfId="1" applyNumberFormat="1" applyFont="1" applyFill="1" applyBorder="1" applyAlignment="1" applyProtection="1">
      <alignment vertical="center"/>
    </xf>
    <xf numFmtId="179" fontId="0" fillId="17" borderId="248" xfId="1" applyNumberFormat="1" applyFont="1" applyFill="1" applyBorder="1" applyAlignment="1" applyProtection="1">
      <alignment vertical="center"/>
    </xf>
    <xf numFmtId="179" fontId="0" fillId="17" borderId="245" xfId="1" applyNumberFormat="1" applyFont="1" applyFill="1" applyBorder="1" applyAlignment="1" applyProtection="1">
      <alignment vertical="center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68" xfId="1" applyNumberFormat="1" applyFont="1" applyFill="1" applyBorder="1" applyAlignment="1" applyProtection="1">
      <alignment vertical="center"/>
    </xf>
    <xf numFmtId="179" fontId="0" fillId="0" borderId="192" xfId="1" applyNumberFormat="1" applyFont="1" applyFill="1" applyBorder="1" applyAlignment="1" applyProtection="1">
      <alignment horizontal="right" vertical="center"/>
    </xf>
    <xf numFmtId="179" fontId="0" fillId="0" borderId="161" xfId="1" applyNumberFormat="1" applyFont="1" applyFill="1" applyBorder="1" applyAlignment="1" applyProtection="1">
      <alignment horizontal="right" vertical="center"/>
    </xf>
    <xf numFmtId="179" fontId="0" fillId="17" borderId="19" xfId="0" applyNumberFormat="1" applyFill="1" applyBorder="1" applyAlignment="1">
      <alignment vertical="center"/>
    </xf>
    <xf numFmtId="179" fontId="0" fillId="17" borderId="31" xfId="1" applyNumberFormat="1" applyFont="1" applyFill="1" applyBorder="1" applyAlignment="1" applyProtection="1">
      <alignment vertical="center"/>
    </xf>
    <xf numFmtId="179" fontId="0" fillId="17" borderId="19" xfId="1" applyNumberFormat="1" applyFont="1" applyFill="1" applyBorder="1" applyAlignment="1" applyProtection="1">
      <alignment vertical="center"/>
    </xf>
    <xf numFmtId="179" fontId="0" fillId="17" borderId="12" xfId="1" applyNumberFormat="1" applyFont="1" applyFill="1" applyBorder="1" applyAlignment="1" applyProtection="1">
      <alignment vertical="center"/>
    </xf>
    <xf numFmtId="179" fontId="0" fillId="17" borderId="13" xfId="1" applyNumberFormat="1" applyFont="1" applyFill="1" applyBorder="1" applyAlignment="1" applyProtection="1">
      <alignment vertical="center"/>
    </xf>
    <xf numFmtId="179" fontId="0" fillId="17" borderId="249" xfId="1" applyNumberFormat="1" applyFont="1" applyFill="1" applyBorder="1" applyAlignment="1" applyProtection="1">
      <alignment vertical="center"/>
    </xf>
    <xf numFmtId="179" fontId="0" fillId="17" borderId="247" xfId="1" applyNumberFormat="1" applyFont="1" applyFill="1" applyBorder="1" applyAlignment="1" applyProtection="1">
      <alignment vertical="center"/>
    </xf>
    <xf numFmtId="179" fontId="0" fillId="5" borderId="45" xfId="1" applyNumberFormat="1" applyFont="1" applyFill="1" applyBorder="1" applyAlignment="1" applyProtection="1">
      <alignment vertical="center"/>
    </xf>
    <xf numFmtId="179" fontId="0" fillId="5" borderId="46" xfId="1" applyNumberFormat="1" applyFont="1" applyFill="1" applyBorder="1" applyAlignment="1" applyProtection="1">
      <alignment vertical="center"/>
    </xf>
    <xf numFmtId="179" fontId="0" fillId="5" borderId="12" xfId="1" applyNumberFormat="1" applyFont="1" applyFill="1" applyBorder="1" applyAlignment="1" applyProtection="1">
      <alignment vertical="center"/>
    </xf>
    <xf numFmtId="179" fontId="0" fillId="5" borderId="13" xfId="1" applyNumberFormat="1" applyFont="1" applyFill="1" applyBorder="1" applyAlignment="1" applyProtection="1">
      <alignment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179" fontId="0" fillId="17" borderId="254" xfId="1" applyNumberFormat="1" applyFont="1" applyFill="1" applyBorder="1" applyAlignment="1" applyProtection="1">
      <alignment vertical="center"/>
    </xf>
    <xf numFmtId="179" fontId="0" fillId="17" borderId="252" xfId="1" applyNumberFormat="1" applyFont="1" applyFill="1" applyBorder="1" applyAlignment="1" applyProtection="1">
      <alignment vertical="center"/>
    </xf>
    <xf numFmtId="179" fontId="0" fillId="5" borderId="262" xfId="1" applyNumberFormat="1" applyFont="1" applyFill="1" applyBorder="1" applyAlignment="1" applyProtection="1">
      <alignment vertical="center"/>
    </xf>
    <xf numFmtId="179" fontId="0" fillId="5" borderId="263" xfId="1" applyNumberFormat="1" applyFont="1" applyFill="1" applyBorder="1" applyAlignment="1" applyProtection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249" xfId="1" applyNumberFormat="1" applyFont="1" applyFill="1" applyBorder="1" applyAlignment="1" applyProtection="1">
      <alignment vertical="center"/>
    </xf>
    <xf numFmtId="179" fontId="0" fillId="5" borderId="247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83" fontId="4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right"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83" fontId="4" fillId="16" borderId="0" xfId="0" applyNumberFormat="1" applyFont="1" applyFill="1" applyAlignment="1" applyProtection="1">
      <alignment horizontal="center" vertical="center" shrinkToFit="1"/>
      <protection locked="0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14" fillId="0" borderId="84" xfId="0" applyFont="1" applyBorder="1" applyAlignment="1">
      <alignment vertical="center"/>
    </xf>
    <xf numFmtId="0" fontId="4" fillId="0" borderId="208" xfId="0" applyFont="1" applyBorder="1" applyAlignment="1">
      <alignment vertical="center"/>
    </xf>
    <xf numFmtId="0" fontId="4" fillId="0" borderId="255" xfId="0" applyFont="1" applyBorder="1" applyAlignment="1">
      <alignment vertical="center"/>
    </xf>
    <xf numFmtId="0" fontId="4" fillId="0" borderId="193" xfId="0" applyFont="1" applyBorder="1" applyAlignment="1">
      <alignment vertical="center"/>
    </xf>
    <xf numFmtId="0" fontId="4" fillId="17" borderId="256" xfId="0" applyFont="1" applyFill="1" applyBorder="1" applyAlignment="1">
      <alignment vertical="center" wrapText="1"/>
    </xf>
    <xf numFmtId="0" fontId="4" fillId="17" borderId="15" xfId="0" applyFont="1" applyFill="1" applyBorder="1" applyAlignment="1">
      <alignment vertical="center" wrapText="1"/>
    </xf>
    <xf numFmtId="0" fontId="4" fillId="17" borderId="33" xfId="0" applyFont="1" applyFill="1" applyBorder="1" applyAlignment="1">
      <alignment vertical="center" wrapText="1"/>
    </xf>
    <xf numFmtId="0" fontId="35" fillId="0" borderId="0" xfId="0" applyFont="1" applyAlignment="1">
      <alignment horizontal="left" vertical="top" wrapText="1"/>
    </xf>
    <xf numFmtId="0" fontId="7" fillId="0" borderId="143" xfId="0" applyFont="1" applyBorder="1" applyAlignment="1">
      <alignment horizontal="right" vertical="center"/>
    </xf>
    <xf numFmtId="0" fontId="16" fillId="4" borderId="159" xfId="0" applyFont="1" applyFill="1" applyBorder="1" applyAlignment="1">
      <alignment horizontal="center" vertical="center"/>
    </xf>
    <xf numFmtId="0" fontId="16" fillId="4" borderId="166" xfId="0" applyFont="1" applyFill="1" applyBorder="1" applyAlignment="1">
      <alignment horizontal="center" vertical="center"/>
    </xf>
    <xf numFmtId="0" fontId="15" fillId="4" borderId="179" xfId="0" applyFont="1" applyFill="1" applyBorder="1" applyAlignment="1">
      <alignment horizontal="center" vertical="center"/>
    </xf>
    <xf numFmtId="0" fontId="16" fillId="4" borderId="171" xfId="0" applyFont="1" applyFill="1" applyBorder="1" applyAlignment="1">
      <alignment horizontal="center" vertical="center"/>
    </xf>
    <xf numFmtId="0" fontId="16" fillId="4" borderId="182" xfId="0" applyFont="1" applyFill="1" applyBorder="1" applyAlignment="1">
      <alignment horizontal="center" vertical="center"/>
    </xf>
    <xf numFmtId="0" fontId="16" fillId="4" borderId="183" xfId="0" applyFont="1" applyFill="1" applyBorder="1" applyAlignment="1">
      <alignment horizontal="center" vertical="center"/>
    </xf>
    <xf numFmtId="179" fontId="9" fillId="0" borderId="163" xfId="0" applyNumberFormat="1" applyFont="1" applyBorder="1" applyAlignment="1">
      <alignment vertical="center"/>
    </xf>
    <xf numFmtId="179" fontId="9" fillId="0" borderId="167" xfId="0" applyNumberFormat="1" applyFont="1" applyBorder="1" applyAlignment="1">
      <alignment vertical="center"/>
    </xf>
    <xf numFmtId="179" fontId="0" fillId="17" borderId="253" xfId="1" applyNumberFormat="1" applyFont="1" applyFill="1" applyBorder="1" applyAlignment="1" applyProtection="1">
      <alignment vertical="center"/>
    </xf>
    <xf numFmtId="179" fontId="0" fillId="17" borderId="250" xfId="1" applyNumberFormat="1" applyFont="1" applyFill="1" applyBorder="1" applyAlignment="1" applyProtection="1">
      <alignment vertical="center"/>
    </xf>
    <xf numFmtId="179" fontId="0" fillId="0" borderId="248" xfId="1" applyNumberFormat="1" applyFont="1" applyFill="1" applyBorder="1" applyAlignment="1" applyProtection="1">
      <alignment vertical="center"/>
    </xf>
    <xf numFmtId="179" fontId="0" fillId="0" borderId="245" xfId="1" applyNumberFormat="1" applyFont="1" applyFill="1" applyBorder="1" applyAlignment="1" applyProtection="1">
      <alignment vertical="center"/>
    </xf>
    <xf numFmtId="0" fontId="4" fillId="17" borderId="258" xfId="0" applyFont="1" applyFill="1" applyBorder="1" applyAlignment="1">
      <alignment vertical="center" wrapText="1"/>
    </xf>
    <xf numFmtId="0" fontId="4" fillId="17" borderId="260" xfId="0" applyFont="1" applyFill="1" applyBorder="1" applyAlignment="1">
      <alignment vertical="center" wrapText="1"/>
    </xf>
    <xf numFmtId="0" fontId="4" fillId="17" borderId="250" xfId="0" applyFont="1" applyFill="1" applyBorder="1" applyAlignment="1">
      <alignment vertical="center" wrapText="1"/>
    </xf>
    <xf numFmtId="0" fontId="4" fillId="0" borderId="118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4" fillId="0" borderId="280" xfId="0" applyFont="1" applyBorder="1" applyAlignment="1">
      <alignment vertical="center"/>
    </xf>
    <xf numFmtId="185" fontId="4" fillId="0" borderId="38" xfId="0" applyNumberFormat="1" applyFont="1" applyBorder="1" applyAlignment="1">
      <alignment horizontal="center" vertical="center"/>
    </xf>
    <xf numFmtId="185" fontId="0" fillId="0" borderId="18" xfId="0" applyNumberFormat="1" applyBorder="1" applyAlignment="1">
      <alignment horizontal="center" vertical="center"/>
    </xf>
    <xf numFmtId="0" fontId="4" fillId="0" borderId="276" xfId="0" applyFont="1" applyBorder="1" applyAlignment="1">
      <alignment vertical="center" shrinkToFit="1"/>
    </xf>
    <xf numFmtId="0" fontId="0" fillId="0" borderId="147" xfId="0" applyBorder="1" applyAlignment="1">
      <alignment vertical="center" shrinkToFit="1"/>
    </xf>
    <xf numFmtId="0" fontId="0" fillId="0" borderId="148" xfId="0" applyBorder="1" applyAlignment="1">
      <alignment vertical="center" shrinkToFit="1"/>
    </xf>
    <xf numFmtId="0" fontId="7" fillId="0" borderId="184" xfId="0" applyFont="1" applyBorder="1" applyAlignment="1">
      <alignment vertical="center" textRotation="255" wrapText="1"/>
    </xf>
    <xf numFmtId="0" fontId="7" fillId="0" borderId="165" xfId="0" applyFont="1" applyBorder="1" applyAlignment="1">
      <alignment vertical="center" textRotation="255" wrapText="1"/>
    </xf>
    <xf numFmtId="0" fontId="13" fillId="0" borderId="219" xfId="0" applyFont="1" applyBorder="1" applyAlignment="1">
      <alignment vertical="center" textRotation="255"/>
    </xf>
    <xf numFmtId="0" fontId="13" fillId="0" borderId="114" xfId="0" applyFont="1" applyBorder="1" applyAlignment="1">
      <alignment vertical="center" textRotation="255"/>
    </xf>
    <xf numFmtId="0" fontId="13" fillId="0" borderId="205" xfId="0" applyFont="1" applyBorder="1" applyAlignment="1">
      <alignment vertical="center" textRotation="255"/>
    </xf>
    <xf numFmtId="41" fontId="4" fillId="0" borderId="223" xfId="0" applyNumberFormat="1" applyFont="1" applyBorder="1" applyAlignment="1">
      <alignment horizontal="center"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185" fontId="0" fillId="0" borderId="47" xfId="0" applyNumberFormat="1" applyBorder="1" applyAlignment="1">
      <alignment horizontal="center" vertical="center"/>
    </xf>
    <xf numFmtId="179" fontId="4" fillId="15" borderId="221" xfId="1" applyNumberFormat="1" applyFont="1" applyFill="1" applyBorder="1" applyAlignment="1" applyProtection="1">
      <alignment vertical="center"/>
    </xf>
    <xf numFmtId="179" fontId="4" fillId="15" borderId="222" xfId="1" applyNumberFormat="1" applyFont="1" applyFill="1" applyBorder="1" applyAlignment="1" applyProtection="1">
      <alignment vertical="center"/>
    </xf>
    <xf numFmtId="0" fontId="8" fillId="0" borderId="189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/>
    </xf>
    <xf numFmtId="0" fontId="8" fillId="0" borderId="191" xfId="0" applyFont="1" applyBorder="1" applyAlignment="1">
      <alignment horizontal="center" vertical="center"/>
    </xf>
    <xf numFmtId="179" fontId="8" fillId="0" borderId="197" xfId="1" applyNumberFormat="1" applyFont="1" applyFill="1" applyBorder="1" applyAlignment="1" applyProtection="1">
      <alignment horizontal="right" vertical="center"/>
    </xf>
    <xf numFmtId="179" fontId="8" fillId="0" borderId="187" xfId="1" applyNumberFormat="1" applyFont="1" applyFill="1" applyBorder="1" applyAlignment="1" applyProtection="1">
      <alignment horizontal="right" vertical="center"/>
    </xf>
    <xf numFmtId="179" fontId="8" fillId="0" borderId="186" xfId="1" applyNumberFormat="1" applyFont="1" applyFill="1" applyBorder="1" applyAlignment="1" applyProtection="1">
      <alignment horizontal="right" vertical="center"/>
    </xf>
    <xf numFmtId="179" fontId="8" fillId="0" borderId="188" xfId="1" applyNumberFormat="1" applyFont="1" applyFill="1" applyBorder="1" applyAlignment="1" applyProtection="1">
      <alignment horizontal="right" vertical="center"/>
    </xf>
    <xf numFmtId="0" fontId="0" fillId="0" borderId="184" xfId="0" applyBorder="1" applyAlignment="1">
      <alignment horizontal="center" vertical="center" textRotation="255"/>
    </xf>
    <xf numFmtId="0" fontId="0" fillId="0" borderId="165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4" fillId="15" borderId="138" xfId="0" applyFont="1" applyFill="1" applyBorder="1" applyAlignment="1">
      <alignment horizontal="center" vertical="center"/>
    </xf>
    <xf numFmtId="0" fontId="4" fillId="15" borderId="137" xfId="0" applyFont="1" applyFill="1" applyBorder="1" applyAlignment="1">
      <alignment horizontal="center" vertical="center"/>
    </xf>
    <xf numFmtId="0" fontId="4" fillId="15" borderId="139" xfId="0" applyFont="1" applyFill="1" applyBorder="1" applyAlignment="1">
      <alignment horizontal="center" vertical="center"/>
    </xf>
    <xf numFmtId="0" fontId="4" fillId="15" borderId="198" xfId="0" applyFont="1" applyFill="1" applyBorder="1" applyAlignment="1">
      <alignment horizontal="center" vertical="center"/>
    </xf>
    <xf numFmtId="0" fontId="4" fillId="15" borderId="199" xfId="0" applyFont="1" applyFill="1" applyBorder="1" applyAlignment="1">
      <alignment horizontal="center" vertical="center"/>
    </xf>
    <xf numFmtId="0" fontId="4" fillId="15" borderId="200" xfId="0" applyFont="1" applyFill="1" applyBorder="1" applyAlignment="1">
      <alignment horizontal="center" vertical="center"/>
    </xf>
    <xf numFmtId="179" fontId="4" fillId="15" borderId="220" xfId="1" applyNumberFormat="1" applyFont="1" applyFill="1" applyBorder="1" applyAlignment="1" applyProtection="1">
      <alignment vertical="center"/>
    </xf>
    <xf numFmtId="0" fontId="5" fillId="0" borderId="192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4" fontId="4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4" fillId="0" borderId="219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205" xfId="0" applyFont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162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0" borderId="163" xfId="0" applyFont="1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4" fillId="0" borderId="168" xfId="0" applyFont="1" applyBorder="1" applyAlignment="1">
      <alignment horizontal="center" vertical="center"/>
    </xf>
    <xf numFmtId="0" fontId="4" fillId="0" borderId="194" xfId="0" applyFont="1" applyBorder="1" applyAlignment="1">
      <alignment vertical="center" shrinkToFit="1"/>
    </xf>
    <xf numFmtId="0" fontId="0" fillId="0" borderId="195" xfId="0" applyBorder="1" applyAlignment="1">
      <alignment vertical="center" shrinkToFit="1"/>
    </xf>
    <xf numFmtId="0" fontId="0" fillId="0" borderId="196" xfId="0" applyBorder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4" fillId="0" borderId="184" xfId="0" applyFont="1" applyBorder="1" applyAlignment="1">
      <alignment horizontal="center" vertical="center" textRotation="255" wrapText="1"/>
    </xf>
    <xf numFmtId="0" fontId="4" fillId="0" borderId="165" xfId="0" applyFont="1" applyBorder="1" applyAlignment="1">
      <alignment horizontal="center" vertical="center" textRotation="255" wrapText="1"/>
    </xf>
    <xf numFmtId="0" fontId="4" fillId="0" borderId="178" xfId="0" applyFont="1" applyBorder="1" applyAlignment="1">
      <alignment horizontal="center" vertical="center" textRotation="255" wrapText="1"/>
    </xf>
    <xf numFmtId="0" fontId="4" fillId="15" borderId="37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68" xfId="0" applyFont="1" applyFill="1" applyBorder="1" applyAlignment="1">
      <alignment horizontal="center" vertical="center"/>
    </xf>
    <xf numFmtId="0" fontId="4" fillId="0" borderId="14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6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3" xfId="0" applyFont="1" applyFill="1" applyBorder="1" applyAlignment="1">
      <alignment horizontal="distributed" vertical="center" justifyLastLine="1"/>
    </xf>
    <xf numFmtId="0" fontId="10" fillId="4" borderId="164" xfId="0" applyFont="1" applyFill="1" applyBorder="1" applyAlignment="1">
      <alignment horizontal="distributed" vertical="center" justifyLastLine="1"/>
    </xf>
    <xf numFmtId="0" fontId="10" fillId="4" borderId="168" xfId="0" applyFont="1" applyFill="1" applyBorder="1" applyAlignment="1">
      <alignment horizontal="distributed" vertical="center" justifyLastLine="1"/>
    </xf>
    <xf numFmtId="0" fontId="5" fillId="0" borderId="160" xfId="0" applyFont="1" applyBorder="1" applyAlignment="1">
      <alignment horizontal="center" vertical="center"/>
    </xf>
    <xf numFmtId="0" fontId="10" fillId="11" borderId="179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1" xfId="0" applyFont="1" applyFill="1" applyBorder="1" applyAlignment="1">
      <alignment horizontal="center" vertical="center" wrapText="1"/>
    </xf>
    <xf numFmtId="0" fontId="17" fillId="11" borderId="159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10" fillId="11" borderId="184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79" xfId="0" applyFont="1" applyFill="1" applyBorder="1" applyAlignment="1">
      <alignment horizontal="center" vertical="center"/>
    </xf>
    <xf numFmtId="0" fontId="10" fillId="11" borderId="211" xfId="0" applyFont="1" applyFill="1" applyBorder="1" applyAlignment="1">
      <alignment horizontal="center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0" fontId="10" fillId="11" borderId="159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159" xfId="0" applyFont="1" applyFill="1" applyBorder="1" applyAlignment="1">
      <alignment horizontal="center" vertical="center" wrapText="1"/>
    </xf>
    <xf numFmtId="0" fontId="10" fillId="11" borderId="172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4" xfId="0" applyFont="1" applyFill="1" applyBorder="1" applyAlignment="1">
      <alignment horizontal="center" vertical="center"/>
    </xf>
    <xf numFmtId="0" fontId="0" fillId="11" borderId="154" xfId="0" applyFill="1" applyBorder="1" applyAlignment="1">
      <alignment horizontal="center" vertical="center"/>
    </xf>
    <xf numFmtId="0" fontId="10" fillId="11" borderId="160" xfId="0" applyFont="1" applyFill="1" applyBorder="1" applyAlignment="1">
      <alignment horizontal="center" vertical="center"/>
    </xf>
    <xf numFmtId="0" fontId="0" fillId="11" borderId="161" xfId="0" applyFill="1" applyBorder="1" applyAlignment="1">
      <alignment horizontal="center" vertical="center"/>
    </xf>
    <xf numFmtId="0" fontId="4" fillId="0" borderId="15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7" fillId="11" borderId="179" xfId="0" applyFont="1" applyFill="1" applyBorder="1" applyAlignment="1">
      <alignment horizontal="center" vertical="center" wrapText="1"/>
    </xf>
    <xf numFmtId="0" fontId="17" fillId="11" borderId="114" xfId="0" applyFont="1" applyFill="1" applyBorder="1" applyAlignment="1">
      <alignment horizontal="center" vertical="center" wrapText="1"/>
    </xf>
    <xf numFmtId="0" fontId="17" fillId="11" borderId="211" xfId="0" applyFont="1" applyFill="1" applyBorder="1" applyAlignment="1">
      <alignment horizontal="center" vertical="center" wrapText="1"/>
    </xf>
    <xf numFmtId="0" fontId="4" fillId="11" borderId="184" xfId="0" applyFont="1" applyFill="1" applyBorder="1" applyAlignment="1">
      <alignment vertical="center"/>
    </xf>
    <xf numFmtId="0" fontId="4" fillId="11" borderId="165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2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theme="0"/>
      </font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  <dxf>
      <font>
        <color auto="1"/>
      </font>
    </dxf>
  </dxfs>
  <tableStyles count="0" defaultTableStyle="TableStyleMedium2" defaultPivotStyle="PivotStyleLight16"/>
  <colors>
    <mruColors>
      <color rgb="FF66FFFF"/>
      <color rgb="FFFFCCFF"/>
      <color rgb="FFFFCC99"/>
      <color rgb="FF0000FF"/>
      <color rgb="FF666699"/>
      <color rgb="FF3399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5" fmlaLink="計算シート!$B$24" fmlaRange="計算シート!$C$26:$C$28" noThreeD="1" sel="2" val="0"/>
</file>

<file path=xl/ctrlProps/ctrlProp2.xml><?xml version="1.0" encoding="utf-8"?>
<formControlPr xmlns="http://schemas.microsoft.com/office/spreadsheetml/2009/9/main" objectType="Drop" dropStyle="combo" dx="15" fmlaLink="計算シート!$B$33" fmlaRange="計算シート!$C$36:$C$43" noThreeD="1" sel="5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7</xdr:row>
          <xdr:rowOff>127000</xdr:rowOff>
        </xdr:from>
        <xdr:to>
          <xdr:col>14</xdr:col>
          <xdr:colOff>260350</xdr:colOff>
          <xdr:row>8</xdr:row>
          <xdr:rowOff>127000</xdr:rowOff>
        </xdr:to>
        <xdr:sp macro="" textlink="">
          <xdr:nvSpPr>
            <xdr:cNvPr id="2578" name="Drop Down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6</xdr:row>
          <xdr:rowOff>0</xdr:rowOff>
        </xdr:from>
        <xdr:to>
          <xdr:col>14</xdr:col>
          <xdr:colOff>247650</xdr:colOff>
          <xdr:row>7</xdr:row>
          <xdr:rowOff>12700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3</xdr:row>
      <xdr:rowOff>104776</xdr:rowOff>
    </xdr:from>
    <xdr:to>
      <xdr:col>16</xdr:col>
      <xdr:colOff>9524</xdr:colOff>
      <xdr:row>17</xdr:row>
      <xdr:rowOff>226220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831057"/>
          <a:ext cx="8929687" cy="3455194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559594</xdr:colOff>
      <xdr:row>16</xdr:row>
      <xdr:rowOff>50006</xdr:rowOff>
    </xdr:from>
    <xdr:to>
      <xdr:col>15</xdr:col>
      <xdr:colOff>204788</xdr:colOff>
      <xdr:row>16</xdr:row>
      <xdr:rowOff>50006</xdr:rowOff>
    </xdr:to>
    <xdr:sp macro="" textlink="">
      <xdr:nvSpPr>
        <xdr:cNvPr id="30" name="Line 5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4893469" y="3871912"/>
          <a:ext cx="350281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248738</xdr:colOff>
      <xdr:row>45</xdr:row>
      <xdr:rowOff>0</xdr:rowOff>
    </xdr:from>
    <xdr:to>
      <xdr:col>25</xdr:col>
      <xdr:colOff>560888</xdr:colOff>
      <xdr:row>51</xdr:row>
      <xdr:rowOff>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0800000">
          <a:off x="14526713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171450</xdr:colOff>
      <xdr:row>37</xdr:row>
      <xdr:rowOff>195262</xdr:rowOff>
    </xdr:from>
    <xdr:to>
      <xdr:col>16</xdr:col>
      <xdr:colOff>108450</xdr:colOff>
      <xdr:row>39</xdr:row>
      <xdr:rowOff>208162</xdr:rowOff>
    </xdr:to>
    <xdr:sp macro="" textlink="">
      <xdr:nvSpPr>
        <xdr:cNvPr id="38" name="AutoShape 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7467600" y="8367712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57151</xdr:colOff>
      <xdr:row>39</xdr:row>
      <xdr:rowOff>190050</xdr:rowOff>
    </xdr:from>
    <xdr:to>
      <xdr:col>15</xdr:col>
      <xdr:colOff>178595</xdr:colOff>
      <xdr:row>44</xdr:row>
      <xdr:rowOff>114300</xdr:rowOff>
    </xdr:to>
    <xdr:sp macro="" textlink="">
      <xdr:nvSpPr>
        <xdr:cNvPr id="41" name="Freeform 20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210301" y="8838750"/>
          <a:ext cx="1835944" cy="1057725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45722</xdr:colOff>
      <xdr:row>45</xdr:row>
      <xdr:rowOff>209549</xdr:rowOff>
    </xdr:from>
    <xdr:to>
      <xdr:col>27</xdr:col>
      <xdr:colOff>261722</xdr:colOff>
      <xdr:row>52</xdr:row>
      <xdr:rowOff>2699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 flipH="1">
          <a:off x="18409922" y="10229849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455083</xdr:colOff>
      <xdr:row>29</xdr:row>
      <xdr:rowOff>7499</xdr:rowOff>
    </xdr:from>
    <xdr:to>
      <xdr:col>17</xdr:col>
      <xdr:colOff>714375</xdr:colOff>
      <xdr:row>40</xdr:row>
      <xdr:rowOff>219074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199158" y="6751199"/>
          <a:ext cx="259292" cy="253567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455083</xdr:colOff>
      <xdr:row>41</xdr:row>
      <xdr:rowOff>43500</xdr:rowOff>
    </xdr:from>
    <xdr:to>
      <xdr:col>17</xdr:col>
      <xdr:colOff>691302</xdr:colOff>
      <xdr:row>51</xdr:row>
      <xdr:rowOff>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399183" y="9111300"/>
          <a:ext cx="236219" cy="23377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55494</xdr:colOff>
      <xdr:row>29</xdr:row>
      <xdr:rowOff>52483</xdr:rowOff>
    </xdr:from>
    <xdr:ext cx="385555" cy="2700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794807" y="6827139"/>
          <a:ext cx="385555" cy="27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oneCellAnchor>
    <xdr:from>
      <xdr:col>27</xdr:col>
      <xdr:colOff>244185</xdr:colOff>
      <xdr:row>50</xdr:row>
      <xdr:rowOff>190501</xdr:rowOff>
    </xdr:from>
    <xdr:ext cx="386849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8341685" y="11680032"/>
          <a:ext cx="386849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absolute">
    <xdr:from>
      <xdr:col>27</xdr:col>
      <xdr:colOff>235493</xdr:colOff>
      <xdr:row>45</xdr:row>
      <xdr:rowOff>199496</xdr:rowOff>
    </xdr:from>
    <xdr:to>
      <xdr:col>27</xdr:col>
      <xdr:colOff>621048</xdr:colOff>
      <xdr:row>49</xdr:row>
      <xdr:rowOff>181041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332993" y="10736527"/>
          <a:ext cx="385555" cy="934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twoCellAnchor editAs="oneCell">
    <xdr:from>
      <xdr:col>17</xdr:col>
      <xdr:colOff>55493</xdr:colOff>
      <xdr:row>41</xdr:row>
      <xdr:rowOff>84514</xdr:rowOff>
    </xdr:from>
    <xdr:to>
      <xdr:col>17</xdr:col>
      <xdr:colOff>484118</xdr:colOff>
      <xdr:row>49</xdr:row>
      <xdr:rowOff>447514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794806" y="9669045"/>
          <a:ext cx="428625" cy="22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</a:t>
          </a: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41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 bwMode="auto">
        <a:xfrm>
          <a:off x="11715750" y="9305925"/>
          <a:ext cx="3619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31750</xdr:colOff>
      <xdr:row>29</xdr:row>
      <xdr:rowOff>0</xdr:rowOff>
    </xdr:from>
    <xdr:to>
      <xdr:col>20</xdr:col>
      <xdr:colOff>31750</xdr:colOff>
      <xdr:row>29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 bwMode="auto">
        <a:xfrm>
          <a:off x="11861800" y="6743700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10583</xdr:colOff>
      <xdr:row>33</xdr:row>
      <xdr:rowOff>0</xdr:rowOff>
    </xdr:from>
    <xdr:to>
      <xdr:col>26</xdr:col>
      <xdr:colOff>0</xdr:colOff>
      <xdr:row>33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 bwMode="auto">
        <a:xfrm>
          <a:off x="14288558" y="769620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22</xdr:col>
      <xdr:colOff>154782</xdr:colOff>
      <xdr:row>27</xdr:row>
      <xdr:rowOff>214312</xdr:rowOff>
    </xdr:from>
    <xdr:ext cx="386851" cy="27571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3465970" y="6512718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22</xdr:col>
      <xdr:colOff>916781</xdr:colOff>
      <xdr:row>32</xdr:row>
      <xdr:rowOff>0</xdr:rowOff>
    </xdr:from>
    <xdr:ext cx="386851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4232731" y="7458075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26</xdr:col>
      <xdr:colOff>851400</xdr:colOff>
      <xdr:row>44</xdr:row>
      <xdr:rowOff>190503</xdr:rowOff>
    </xdr:from>
    <xdr:ext cx="386851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7786850" y="1021080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23</xdr:col>
      <xdr:colOff>248737</xdr:colOff>
      <xdr:row>33</xdr:row>
      <xdr:rowOff>38325</xdr:rowOff>
    </xdr:from>
    <xdr:to>
      <xdr:col>25</xdr:col>
      <xdr:colOff>560887</xdr:colOff>
      <xdr:row>40</xdr:row>
      <xdr:rowOff>228600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4526712" y="7734525"/>
          <a:ext cx="2160000" cy="1800000"/>
        </a:xfrm>
        <a:prstGeom prst="rightArrow">
          <a:avLst>
            <a:gd name="adj1" fmla="val 50000"/>
            <a:gd name="adj2" fmla="val 49355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41</xdr:row>
      <xdr:rowOff>0</xdr:rowOff>
    </xdr:from>
    <xdr:to>
      <xdr:col>25</xdr:col>
      <xdr:colOff>799042</xdr:colOff>
      <xdr:row>41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 bwMode="auto">
        <a:xfrm>
          <a:off x="14277975" y="954405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1</xdr:row>
      <xdr:rowOff>226219</xdr:rowOff>
    </xdr:from>
    <xdr:to>
      <xdr:col>20</xdr:col>
      <xdr:colOff>142875</xdr:colOff>
      <xdr:row>3</xdr:row>
      <xdr:rowOff>235744</xdr:rowOff>
    </xdr:to>
    <xdr:sp macro="" textlink="">
      <xdr:nvSpPr>
        <xdr:cNvPr id="10" name="Text Box 2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15186" y="488157"/>
          <a:ext cx="556022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11" name="Group 28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2531045" y="556932"/>
          <a:ext cx="3961853" cy="402292"/>
          <a:chOff x="311" y="40"/>
          <a:chExt cx="415" cy="32"/>
        </a:xfrm>
      </xdr:grpSpPr>
      <xdr:sp macro="" textlink="">
        <xdr:nvSpPr>
          <xdr:cNvPr id="12" name="Freeform 29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Freeform 29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67"/>
  <sheetViews>
    <sheetView showGridLines="0" tabSelected="1" zoomScaleNormal="100" zoomScaleSheetLayoutView="85" workbookViewId="0">
      <selection activeCell="F16" sqref="F16:I16"/>
    </sheetView>
  </sheetViews>
  <sheetFormatPr defaultColWidth="9" defaultRowHeight="13.5" customHeight="1" x14ac:dyDescent="0.2"/>
  <cols>
    <col min="1" max="2" width="5.6328125" style="140" customWidth="1"/>
    <col min="3" max="3" width="6" style="140" customWidth="1"/>
    <col min="4" max="4" width="3.08984375" style="140" customWidth="1"/>
    <col min="5" max="5" width="6.6328125" style="140" customWidth="1"/>
    <col min="6" max="6" width="8.6328125" style="140" customWidth="1"/>
    <col min="7" max="7" width="4.36328125" style="140" customWidth="1"/>
    <col min="8" max="8" width="4" style="140" customWidth="1"/>
    <col min="9" max="9" width="4.36328125" style="140" customWidth="1"/>
    <col min="10" max="11" width="8.6328125" style="140" customWidth="1"/>
    <col min="12" max="12" width="15.08984375" style="140" customWidth="1"/>
    <col min="13" max="13" width="8.6328125" style="140" customWidth="1"/>
    <col min="14" max="14" width="9.6328125" style="140" customWidth="1"/>
    <col min="15" max="15" width="8.6328125" style="140" customWidth="1"/>
    <col min="16" max="16" width="9.6328125" style="140" customWidth="1"/>
    <col min="17" max="17" width="10.6328125" style="140" customWidth="1"/>
    <col min="18" max="18" width="10.26953125" style="140" customWidth="1"/>
    <col min="19" max="19" width="15.6328125" style="379" customWidth="1"/>
    <col min="20" max="20" width="4.7265625" style="379" customWidth="1"/>
    <col min="21" max="21" width="10.6328125" style="379" customWidth="1"/>
    <col min="22" max="22" width="5.6328125" style="379" customWidth="1"/>
    <col min="23" max="23" width="12.6328125" style="379" customWidth="1"/>
    <col min="24" max="24" width="10.6328125" style="379" customWidth="1"/>
    <col min="25" max="25" width="13.6328125" style="379" customWidth="1"/>
    <col min="26" max="26" width="10.6328125" style="379" customWidth="1"/>
    <col min="27" max="27" width="15.26953125" style="379" customWidth="1"/>
    <col min="28" max="28" width="12.6328125" style="379" customWidth="1"/>
    <col min="29" max="29" width="4.453125" style="140" customWidth="1"/>
    <col min="30" max="16384" width="9" style="140"/>
  </cols>
  <sheetData>
    <row r="1" spans="1:28" ht="20.149999999999999" customHeight="1" x14ac:dyDescent="0.2">
      <c r="A1" s="139" t="s">
        <v>237</v>
      </c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 spans="1:28" ht="18.75" customHeight="1" x14ac:dyDescent="0.2"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28" ht="18.75" customHeight="1" x14ac:dyDescent="0.2">
      <c r="A3" s="139" t="s">
        <v>214</v>
      </c>
      <c r="E3" s="137"/>
      <c r="F3" s="141" t="s">
        <v>256</v>
      </c>
      <c r="G3" s="137" t="str">
        <f>"("&amp;計算シート!B2&amp;")"</f>
        <v>(コース不参加)</v>
      </c>
      <c r="H3" s="137"/>
      <c r="I3" s="137"/>
      <c r="N3" s="142" t="s">
        <v>217</v>
      </c>
      <c r="O3" s="720">
        <f ca="1">TODAY()</f>
        <v>46118</v>
      </c>
      <c r="P3" s="720"/>
      <c r="S3" s="351" t="s">
        <v>170</v>
      </c>
      <c r="T3" s="140"/>
      <c r="U3" s="140"/>
      <c r="V3" s="140"/>
      <c r="W3" s="140"/>
      <c r="X3" s="140"/>
      <c r="Y3" s="140"/>
      <c r="Z3" s="140"/>
      <c r="AA3" s="140"/>
      <c r="AB3" s="140"/>
    </row>
    <row r="4" spans="1:28" ht="18.75" customHeight="1" x14ac:dyDescent="0.2">
      <c r="A4" s="143"/>
      <c r="S4" s="140"/>
      <c r="T4" s="140"/>
      <c r="U4" s="140"/>
      <c r="V4" s="140"/>
      <c r="W4" s="140"/>
      <c r="X4" s="140"/>
      <c r="Y4" s="140"/>
      <c r="Z4" s="140"/>
      <c r="AA4" s="140"/>
      <c r="AB4" s="140"/>
    </row>
    <row r="5" spans="1:28" ht="18.75" customHeight="1" x14ac:dyDescent="0.2">
      <c r="A5" s="144" t="s">
        <v>118</v>
      </c>
      <c r="B5" s="140" t="s">
        <v>119</v>
      </c>
      <c r="F5" s="723"/>
      <c r="G5" s="723"/>
      <c r="H5" s="723"/>
      <c r="I5" s="723"/>
      <c r="J5" s="723"/>
      <c r="K5" s="723"/>
      <c r="S5" s="352"/>
      <c r="T5" s="353" t="s">
        <v>171</v>
      </c>
      <c r="U5" s="354"/>
      <c r="V5" s="353" t="s">
        <v>172</v>
      </c>
      <c r="W5" s="355"/>
      <c r="X5" s="354"/>
      <c r="Y5" s="356" t="s">
        <v>173</v>
      </c>
      <c r="Z5" s="353" t="s">
        <v>174</v>
      </c>
      <c r="AA5" s="355"/>
      <c r="AB5" s="354"/>
    </row>
    <row r="6" spans="1:28" ht="18.75" customHeight="1" x14ac:dyDescent="0.2">
      <c r="A6" s="144"/>
      <c r="S6" s="357" t="s">
        <v>175</v>
      </c>
      <c r="T6" s="358" t="s">
        <v>176</v>
      </c>
      <c r="U6" s="359"/>
      <c r="V6" s="358" t="s">
        <v>177</v>
      </c>
      <c r="W6" s="360"/>
      <c r="X6" s="359"/>
      <c r="Y6" s="361">
        <f>L26</f>
        <v>0</v>
      </c>
      <c r="Z6" s="358" t="s">
        <v>178</v>
      </c>
      <c r="AA6" s="360"/>
      <c r="AB6" s="362"/>
    </row>
    <row r="7" spans="1:28" ht="18.75" customHeight="1" x14ac:dyDescent="0.2">
      <c r="A7" s="144" t="s">
        <v>120</v>
      </c>
      <c r="B7" s="140" t="s">
        <v>121</v>
      </c>
      <c r="S7" s="363"/>
      <c r="T7" s="364" t="s">
        <v>179</v>
      </c>
      <c r="U7" s="365"/>
      <c r="V7" s="364" t="s">
        <v>180</v>
      </c>
      <c r="W7" s="366"/>
      <c r="X7" s="365"/>
      <c r="Y7" s="367">
        <f>L38</f>
        <v>0</v>
      </c>
      <c r="Z7" s="364" t="s">
        <v>258</v>
      </c>
      <c r="AA7" s="366"/>
      <c r="AB7" s="368"/>
    </row>
    <row r="8" spans="1:28" ht="18.75" customHeight="1" thickBot="1" x14ac:dyDescent="0.25">
      <c r="A8" s="144"/>
      <c r="K8" s="751" t="s">
        <v>122</v>
      </c>
      <c r="L8" s="749" t="s">
        <v>123</v>
      </c>
      <c r="M8" s="749"/>
      <c r="N8" s="749"/>
      <c r="S8" s="140"/>
      <c r="T8" s="140"/>
      <c r="U8" s="140"/>
      <c r="V8" s="140"/>
      <c r="W8" s="721" t="s">
        <v>181</v>
      </c>
      <c r="X8" s="722"/>
      <c r="Y8" s="369">
        <f>SUM(Y6:Y7)</f>
        <v>0</v>
      </c>
      <c r="Z8" s="140"/>
      <c r="AA8" s="140"/>
      <c r="AB8"/>
    </row>
    <row r="9" spans="1:28" ht="18.75" customHeight="1" x14ac:dyDescent="0.2">
      <c r="A9" s="144" t="s">
        <v>124</v>
      </c>
      <c r="B9" s="140" t="s">
        <v>125</v>
      </c>
      <c r="F9" s="750">
        <f>F13</f>
        <v>46162</v>
      </c>
      <c r="G9" s="750"/>
      <c r="H9" s="433"/>
      <c r="I9" s="433"/>
      <c r="K9" s="751"/>
      <c r="L9" s="749"/>
      <c r="M9" s="749"/>
      <c r="N9" s="749"/>
      <c r="S9" s="140"/>
      <c r="T9" s="140"/>
      <c r="U9" s="140"/>
      <c r="V9" s="140"/>
      <c r="W9" s="140"/>
      <c r="X9" s="140"/>
      <c r="Y9" s="370"/>
      <c r="Z9" s="140"/>
      <c r="AA9" s="140"/>
      <c r="AB9" s="140"/>
    </row>
    <row r="10" spans="1:28" ht="18.75" customHeight="1" x14ac:dyDescent="0.2">
      <c r="A10" s="144"/>
      <c r="L10" s="145" t="s">
        <v>126</v>
      </c>
      <c r="O10" s="434"/>
      <c r="P10" s="1" t="s">
        <v>127</v>
      </c>
      <c r="S10" s="371" t="s">
        <v>182</v>
      </c>
      <c r="T10" s="372" t="s">
        <v>183</v>
      </c>
      <c r="U10" s="372"/>
      <c r="V10" s="373" t="s">
        <v>184</v>
      </c>
      <c r="W10" s="374"/>
      <c r="X10" s="375"/>
      <c r="Y10" s="376">
        <f>IF(計算シート!$B$24=3,$L$32,0)</f>
        <v>0</v>
      </c>
      <c r="Z10" s="373" t="s">
        <v>185</v>
      </c>
      <c r="AA10" s="374"/>
      <c r="AB10" s="377"/>
    </row>
    <row r="11" spans="1:28" ht="18.75" customHeight="1" thickBot="1" x14ac:dyDescent="0.25">
      <c r="A11" s="144" t="s">
        <v>128</v>
      </c>
      <c r="B11" s="140" t="s">
        <v>129</v>
      </c>
      <c r="F11" s="523">
        <f>DATEDIF($F$13,$I$13,"D")+1</f>
        <v>72</v>
      </c>
      <c r="G11" s="1" t="s">
        <v>130</v>
      </c>
      <c r="H11" s="1"/>
      <c r="I11" s="1"/>
      <c r="L11" s="146" t="str">
        <f>"補助対象宿泊費 (上限"&amp;TEXT(【宿舎費_外部宿舎】,"#,###")&amp;"円／泊)："</f>
        <v>補助対象宿泊費 (上限9,000円／泊)：</v>
      </c>
      <c r="M11"/>
      <c r="O11" s="147">
        <f>IF($O$10&gt;【宿舎費_外部宿舎】,【宿舎費_外部宿舎】,$O$10)</f>
        <v>0</v>
      </c>
      <c r="P11" s="148" t="s">
        <v>131</v>
      </c>
      <c r="S11" s="378"/>
      <c r="T11" s="140"/>
      <c r="U11" s="140"/>
      <c r="V11" s="140"/>
      <c r="W11" s="721" t="s">
        <v>220</v>
      </c>
      <c r="X11" s="722"/>
      <c r="Y11" s="369">
        <f>SUM(Y10:Y10)</f>
        <v>0</v>
      </c>
      <c r="Z11" s="140"/>
      <c r="AA11" s="140"/>
      <c r="AB11"/>
    </row>
    <row r="12" spans="1:28" ht="18.75" customHeight="1" x14ac:dyDescent="0.2">
      <c r="A12" s="144"/>
      <c r="B12" s="149" t="s">
        <v>238</v>
      </c>
      <c r="C12" s="1"/>
      <c r="D12" s="150"/>
      <c r="F12" s="140" t="s">
        <v>222</v>
      </c>
      <c r="S12" s="140"/>
      <c r="T12" s="140"/>
      <c r="U12" s="140"/>
      <c r="V12" s="140"/>
      <c r="W12" s="140"/>
      <c r="X12" s="140"/>
      <c r="Y12" s="370"/>
      <c r="Z12" s="140"/>
      <c r="AA12" s="140"/>
      <c r="AB12" s="140"/>
    </row>
    <row r="13" spans="1:28" ht="18.75" customHeight="1" x14ac:dyDescent="0.2">
      <c r="A13" s="144"/>
      <c r="B13" s="149" t="s">
        <v>132</v>
      </c>
      <c r="F13" s="754">
        <v>46162</v>
      </c>
      <c r="G13" s="754"/>
      <c r="H13" s="435" t="s">
        <v>221</v>
      </c>
      <c r="I13" s="754">
        <v>46233</v>
      </c>
      <c r="J13" s="754"/>
      <c r="K13" s="151" t="s">
        <v>133</v>
      </c>
      <c r="L13" t="s">
        <v>253</v>
      </c>
      <c r="S13" s="152" t="s">
        <v>186</v>
      </c>
      <c r="T13" s="152" t="s">
        <v>187</v>
      </c>
      <c r="U13" s="153"/>
      <c r="V13" s="358" t="s">
        <v>188</v>
      </c>
      <c r="W13" s="360"/>
      <c r="X13" s="359"/>
      <c r="Y13" s="611">
        <f>SUM(L33:L34)</f>
        <v>229400</v>
      </c>
      <c r="Z13" s="358" t="s">
        <v>189</v>
      </c>
      <c r="AA13" s="360"/>
      <c r="AB13" s="359"/>
    </row>
    <row r="14" spans="1:28" ht="18.75" customHeight="1" x14ac:dyDescent="0.2">
      <c r="A14" s="144"/>
      <c r="F14" s="530" t="s">
        <v>235</v>
      </c>
      <c r="G14" s="154"/>
      <c r="H14" s="154"/>
      <c r="I14" s="154"/>
      <c r="J14" s="155"/>
      <c r="L14" s="149" t="s">
        <v>228</v>
      </c>
      <c r="M14" s="1"/>
      <c r="N14" s="1"/>
      <c r="O14" s="36"/>
      <c r="P14" s="3" t="s">
        <v>134</v>
      </c>
      <c r="S14" s="156"/>
      <c r="T14" s="156"/>
      <c r="U14" s="157"/>
      <c r="V14" s="364" t="s">
        <v>190</v>
      </c>
      <c r="W14" s="366"/>
      <c r="X14" s="365"/>
      <c r="Y14" s="367">
        <f>L35</f>
        <v>72000</v>
      </c>
      <c r="Z14" s="364" t="s">
        <v>189</v>
      </c>
      <c r="AA14" s="366"/>
      <c r="AB14" s="365"/>
    </row>
    <row r="15" spans="1:28" ht="18.75" customHeight="1" thickBot="1" x14ac:dyDescent="0.25">
      <c r="A15" s="144"/>
      <c r="L15" s="149" t="s">
        <v>231</v>
      </c>
      <c r="M15" s="1"/>
      <c r="N15" s="1"/>
      <c r="O15" s="36"/>
      <c r="P15" s="3" t="s">
        <v>134</v>
      </c>
      <c r="S15" s="140"/>
      <c r="T15" s="140"/>
      <c r="U15" s="140"/>
      <c r="V15" s="140"/>
      <c r="W15" s="721" t="s">
        <v>181</v>
      </c>
      <c r="X15" s="722"/>
      <c r="Y15" s="369">
        <f>SUM(Y13:Y14)</f>
        <v>301400</v>
      </c>
      <c r="Z15" s="140"/>
      <c r="AA15" s="140"/>
      <c r="AB15"/>
    </row>
    <row r="16" spans="1:28" ht="18.75" customHeight="1" x14ac:dyDescent="0.2">
      <c r="A16" s="144" t="s">
        <v>136</v>
      </c>
      <c r="B16" s="140" t="s">
        <v>137</v>
      </c>
      <c r="F16" s="755"/>
      <c r="G16" s="755"/>
      <c r="H16" s="755"/>
      <c r="I16" s="755"/>
      <c r="J16" s="140" t="s">
        <v>134</v>
      </c>
      <c r="L16" s="149"/>
      <c r="M16" s="1"/>
      <c r="N16" s="1"/>
      <c r="O16" s="517"/>
      <c r="P16" s="3"/>
      <c r="S16" s="140"/>
      <c r="T16" s="140"/>
      <c r="U16" s="140"/>
      <c r="V16" s="140"/>
      <c r="W16" s="140"/>
      <c r="X16" s="140"/>
      <c r="Y16" s="370"/>
      <c r="Z16" s="140"/>
      <c r="AA16" s="140"/>
      <c r="AB16" s="140"/>
    </row>
    <row r="17" spans="1:28" ht="18.75" customHeight="1" x14ac:dyDescent="0.2">
      <c r="B17" s="158" t="s">
        <v>295</v>
      </c>
      <c r="N17" s="756" t="s">
        <v>138</v>
      </c>
      <c r="O17" s="752">
        <f>SUM(O14:O16)</f>
        <v>0</v>
      </c>
      <c r="P17" s="753" t="s">
        <v>134</v>
      </c>
      <c r="S17" s="152" t="s">
        <v>191</v>
      </c>
      <c r="T17" s="152" t="s">
        <v>192</v>
      </c>
      <c r="U17" s="153"/>
      <c r="V17" s="358" t="s">
        <v>193</v>
      </c>
      <c r="W17" s="360"/>
      <c r="X17" s="359"/>
      <c r="Y17" s="361">
        <f>L37</f>
        <v>373680</v>
      </c>
      <c r="Z17" s="360" t="s">
        <v>194</v>
      </c>
      <c r="AA17" s="360"/>
      <c r="AB17" s="359"/>
    </row>
    <row r="18" spans="1:28" ht="18.75" customHeight="1" x14ac:dyDescent="0.2">
      <c r="A18" s="144"/>
      <c r="B18" s="630" t="s">
        <v>299</v>
      </c>
      <c r="N18" s="756"/>
      <c r="O18" s="752"/>
      <c r="P18" s="753"/>
      <c r="S18" s="156"/>
      <c r="T18" s="156"/>
      <c r="U18" s="157"/>
      <c r="V18" s="364" t="s">
        <v>195</v>
      </c>
      <c r="W18" s="366"/>
      <c r="X18" s="365"/>
      <c r="Y18" s="367">
        <f>IF(計算シート!$B$24=2,$L$32,0)</f>
        <v>113040</v>
      </c>
      <c r="Z18" s="364" t="s">
        <v>196</v>
      </c>
      <c r="AA18" s="366"/>
      <c r="AB18" s="368"/>
    </row>
    <row r="19" spans="1:28" ht="18.75" customHeight="1" thickBot="1" x14ac:dyDescent="0.25">
      <c r="O19" s="159"/>
      <c r="P19" s="1" t="s">
        <v>215</v>
      </c>
      <c r="S19" s="140"/>
      <c r="T19" s="140"/>
      <c r="U19" s="140"/>
      <c r="V19" s="140"/>
      <c r="W19" s="721" t="s">
        <v>181</v>
      </c>
      <c r="X19" s="721"/>
      <c r="Y19" s="369">
        <f>SUM(Y17:Y18)</f>
        <v>486720</v>
      </c>
      <c r="Z19" s="140"/>
      <c r="AA19" s="140"/>
      <c r="AB19"/>
    </row>
    <row r="20" spans="1:28" ht="16.5" customHeight="1" x14ac:dyDescent="0.2">
      <c r="K20" s="160"/>
      <c r="O20" s="160"/>
      <c r="P20" s="16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spans="1:28" ht="16.5" customHeight="1" x14ac:dyDescent="0.2">
      <c r="A21" s="139" t="s">
        <v>140</v>
      </c>
      <c r="B21" s="211"/>
      <c r="C21" s="211"/>
      <c r="D21" s="211"/>
      <c r="M21" s="161"/>
      <c r="O21" s="162"/>
    </row>
    <row r="22" spans="1:28" ht="16.5" customHeight="1" x14ac:dyDescent="0.2">
      <c r="A22" s="211"/>
      <c r="B22" s="680" t="s">
        <v>141</v>
      </c>
      <c r="C22" s="680"/>
      <c r="D22" s="680"/>
      <c r="E22" s="680"/>
      <c r="F22" s="680"/>
      <c r="G22" s="680"/>
      <c r="H22" s="680"/>
      <c r="I22" s="680"/>
      <c r="J22" s="680"/>
      <c r="K22" s="680"/>
      <c r="L22" s="680"/>
      <c r="M22" s="680"/>
      <c r="N22" s="680"/>
      <c r="O22" s="680"/>
      <c r="P22" s="680"/>
    </row>
    <row r="23" spans="1:28" ht="16.5" customHeight="1" thickBot="1" x14ac:dyDescent="0.25">
      <c r="B23" s="757"/>
      <c r="C23" s="757"/>
      <c r="D23" s="757"/>
      <c r="E23" s="757"/>
      <c r="F23" s="757"/>
      <c r="G23" s="757"/>
      <c r="H23" s="757"/>
      <c r="I23" s="757"/>
      <c r="J23" s="757"/>
      <c r="K23" s="757"/>
      <c r="L23" s="757"/>
      <c r="M23" s="757"/>
      <c r="N23" s="757"/>
      <c r="O23" s="757"/>
      <c r="P23" s="757"/>
    </row>
    <row r="24" spans="1:28" ht="16.5" customHeight="1" x14ac:dyDescent="0.2">
      <c r="B24" s="684" t="s">
        <v>142</v>
      </c>
      <c r="C24" s="685"/>
      <c r="D24" s="685"/>
      <c r="E24" s="685"/>
      <c r="F24" s="685"/>
      <c r="G24" s="685"/>
      <c r="H24" s="685"/>
      <c r="I24" s="686"/>
      <c r="J24" s="768" t="s">
        <v>143</v>
      </c>
      <c r="K24" s="768" t="s">
        <v>144</v>
      </c>
      <c r="L24" s="766" t="s">
        <v>0</v>
      </c>
      <c r="M24" s="708" t="s">
        <v>145</v>
      </c>
      <c r="N24" s="709"/>
      <c r="O24" s="770" t="s">
        <v>146</v>
      </c>
      <c r="P24" s="771"/>
    </row>
    <row r="25" spans="1:28" ht="16.5" customHeight="1" thickBot="1" x14ac:dyDescent="0.25">
      <c r="B25" s="687"/>
      <c r="C25" s="688"/>
      <c r="D25" s="688"/>
      <c r="E25" s="688"/>
      <c r="F25" s="688"/>
      <c r="G25" s="688"/>
      <c r="H25" s="688"/>
      <c r="I25" s="689"/>
      <c r="J25" s="769"/>
      <c r="K25" s="769"/>
      <c r="L25" s="767"/>
      <c r="M25" s="163" t="s">
        <v>147</v>
      </c>
      <c r="N25" s="164">
        <f>VLOOKUP(【研修申込区分】,【研修申込区分別費用】,3,FALSE)</f>
        <v>1</v>
      </c>
      <c r="O25" s="165" t="s">
        <v>148</v>
      </c>
      <c r="P25" s="166">
        <f>VLOOKUP(【研修申込区分】,【研修申込区分別費用】,4,FALSE)</f>
        <v>0</v>
      </c>
      <c r="S25" s="351" t="s">
        <v>239</v>
      </c>
      <c r="T25" s="351"/>
      <c r="U25" s="351"/>
      <c r="V25" s="351"/>
      <c r="W25" s="140"/>
      <c r="X25" s="140"/>
      <c r="Y25" s="140"/>
      <c r="Z25" s="140"/>
      <c r="AA25" s="140"/>
      <c r="AB25" s="140"/>
    </row>
    <row r="26" spans="1:28" ht="18.75" customHeight="1" x14ac:dyDescent="0.2">
      <c r="A26" s="509"/>
      <c r="B26" s="690" t="s">
        <v>149</v>
      </c>
      <c r="C26" s="140" t="s">
        <v>150</v>
      </c>
      <c r="G26" s="758" t="s">
        <v>0</v>
      </c>
      <c r="H26" s="759"/>
      <c r="I26" s="760"/>
      <c r="J26" s="167"/>
      <c r="K26" s="168" t="s">
        <v>79</v>
      </c>
      <c r="L26" s="541">
        <f>IF(VLOOKUP(【研修申込区分】,【研修申込区分別費用】,8,FALSE)="対象",$F$16,"補助対象外")</f>
        <v>0</v>
      </c>
      <c r="M26" s="696">
        <f>IF(VLOOKUP(【研修申込区分】,【研修申込区分別費用】,8,FALSE)="対象",ROUNDDOWN(L26*$N$25,0),"補助対象外")</f>
        <v>0</v>
      </c>
      <c r="N26" s="697"/>
      <c r="O26" s="726">
        <f>IF(VLOOKUP(【研修申込区分】,【研修申込区分別費用】,8,FALSE)="対象",ROUNDUP(L26*$P$25,0),"補助対象外")</f>
        <v>0</v>
      </c>
      <c r="P26" s="727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</row>
    <row r="27" spans="1:28" ht="18.75" customHeight="1" x14ac:dyDescent="0.2">
      <c r="A27" s="509"/>
      <c r="B27" s="669"/>
      <c r="C27" s="660" t="s">
        <v>151</v>
      </c>
      <c r="D27" s="446" t="s">
        <v>152</v>
      </c>
      <c r="E27" s="455"/>
      <c r="F27" s="455"/>
      <c r="G27" s="456"/>
      <c r="H27" s="456"/>
      <c r="I27" s="456"/>
      <c r="J27" s="457"/>
      <c r="K27" s="458"/>
      <c r="L27" s="458"/>
      <c r="M27" s="698"/>
      <c r="N27" s="699"/>
      <c r="O27" s="699"/>
      <c r="P27" s="728"/>
      <c r="W27" s="380"/>
    </row>
    <row r="28" spans="1:28" ht="18.75" customHeight="1" x14ac:dyDescent="0.2">
      <c r="A28" s="509"/>
      <c r="B28" s="669"/>
      <c r="C28" s="660"/>
      <c r="D28" s="507"/>
      <c r="E28" s="437" t="s">
        <v>153</v>
      </c>
      <c r="F28" s="438"/>
      <c r="G28" s="761" t="s">
        <v>154</v>
      </c>
      <c r="H28" s="762"/>
      <c r="I28" s="763"/>
      <c r="J28" s="439"/>
      <c r="K28" s="440"/>
      <c r="L28" s="441"/>
      <c r="M28" s="700"/>
      <c r="N28" s="701"/>
      <c r="O28" s="729"/>
      <c r="P28" s="730"/>
      <c r="S28" s="381" t="s">
        <v>285</v>
      </c>
      <c r="U28" s="382" t="s">
        <v>197</v>
      </c>
      <c r="V28" s="382"/>
      <c r="W28" s="382"/>
      <c r="Y28" s="383"/>
      <c r="AA28" s="384"/>
      <c r="AB28" s="384"/>
    </row>
    <row r="29" spans="1:28" ht="18.75" customHeight="1" thickBot="1" x14ac:dyDescent="0.25">
      <c r="A29" s="509"/>
      <c r="B29" s="669"/>
      <c r="C29" s="660"/>
      <c r="D29" s="507"/>
      <c r="E29" s="437" t="s">
        <v>155</v>
      </c>
      <c r="F29" s="438"/>
      <c r="G29" s="761" t="s">
        <v>154</v>
      </c>
      <c r="H29" s="762"/>
      <c r="I29" s="763"/>
      <c r="J29" s="442"/>
      <c r="K29" s="443"/>
      <c r="L29" s="444"/>
      <c r="M29" s="716"/>
      <c r="N29" s="717"/>
      <c r="O29" s="731"/>
      <c r="P29" s="732"/>
      <c r="S29" s="385"/>
      <c r="U29" s="386">
        <f>$L$39</f>
        <v>799050</v>
      </c>
      <c r="V29" s="386"/>
      <c r="W29" s="386"/>
      <c r="Y29" s="385"/>
      <c r="AA29" s="384"/>
      <c r="AB29" s="384"/>
    </row>
    <row r="30" spans="1:28" ht="18.75" customHeight="1" x14ac:dyDescent="0.2">
      <c r="A30" s="509"/>
      <c r="B30" s="669"/>
      <c r="C30" s="660"/>
      <c r="D30" s="507"/>
      <c r="E30" s="445" t="s">
        <v>156</v>
      </c>
      <c r="F30" s="446"/>
      <c r="G30" s="713" t="s">
        <v>157</v>
      </c>
      <c r="H30" s="714"/>
      <c r="I30" s="715"/>
      <c r="J30" s="447"/>
      <c r="K30" s="448"/>
      <c r="L30" s="449"/>
      <c r="M30" s="718"/>
      <c r="N30" s="719"/>
      <c r="O30" s="733"/>
      <c r="P30" s="734"/>
      <c r="S30" s="387"/>
      <c r="T30" s="388"/>
      <c r="U30" s="389" t="s">
        <v>240</v>
      </c>
      <c r="V30" s="390"/>
      <c r="W30" s="391"/>
      <c r="Y30" s="392"/>
    </row>
    <row r="31" spans="1:28" ht="18.75" customHeight="1" x14ac:dyDescent="0.2">
      <c r="A31" s="509"/>
      <c r="B31" s="669"/>
      <c r="C31" s="660"/>
      <c r="D31" s="467"/>
      <c r="E31" s="450"/>
      <c r="F31" s="451"/>
      <c r="G31" s="778" t="s">
        <v>22</v>
      </c>
      <c r="H31" s="779"/>
      <c r="I31" s="780"/>
      <c r="J31" s="452"/>
      <c r="K31" s="453"/>
      <c r="L31" s="454"/>
      <c r="M31" s="774"/>
      <c r="N31" s="775"/>
      <c r="O31" s="741"/>
      <c r="P31" s="742"/>
      <c r="S31" s="393"/>
      <c r="T31" s="388"/>
      <c r="U31" s="394" t="s">
        <v>281</v>
      </c>
      <c r="V31" s="395"/>
      <c r="W31" s="586">
        <f>$L$63-$L$61</f>
        <v>0</v>
      </c>
      <c r="Y31" s="396"/>
    </row>
    <row r="32" spans="1:28" ht="18.75" customHeight="1" x14ac:dyDescent="0.2">
      <c r="A32" s="509"/>
      <c r="B32" s="669"/>
      <c r="C32" s="660"/>
      <c r="D32" s="508" t="s">
        <v>252</v>
      </c>
      <c r="F32" s="542"/>
      <c r="G32" s="543"/>
      <c r="H32" s="543"/>
      <c r="I32" s="544"/>
      <c r="J32" s="173">
        <f>IF(【実地研修中の宿泊】=1,【宿舎費_研修センター】+【食費_夕食】+【食費_朝食】,IF(【実地研修中の宿泊】=2,【宿舎費_会社施設】,$O$11))</f>
        <v>1570</v>
      </c>
      <c r="K32" s="174">
        <f>$F$11</f>
        <v>72</v>
      </c>
      <c r="L32" s="175">
        <f>J32*K32</f>
        <v>113040</v>
      </c>
      <c r="M32" s="776">
        <f t="shared" ref="M32:M38" si="0">ROUNDDOWN(L32*$N$25,0)</f>
        <v>113040</v>
      </c>
      <c r="N32" s="777"/>
      <c r="O32" s="747">
        <f t="shared" ref="O32:O38" si="1">ROUNDUP(L32*$P$25,0)</f>
        <v>0</v>
      </c>
      <c r="P32" s="748"/>
      <c r="S32" s="398" t="s">
        <v>199</v>
      </c>
      <c r="T32" s="388"/>
      <c r="U32" s="394" t="s">
        <v>282</v>
      </c>
      <c r="V32" s="395"/>
      <c r="W32" s="399">
        <f>$L$61</f>
        <v>10930</v>
      </c>
      <c r="Y32" s="396"/>
      <c r="AA32" s="397" t="s">
        <v>198</v>
      </c>
    </row>
    <row r="33" spans="1:28" ht="18.75" customHeight="1" thickBot="1" x14ac:dyDescent="0.25">
      <c r="A33" s="509"/>
      <c r="B33" s="669"/>
      <c r="C33" s="660"/>
      <c r="E33" s="531" t="s">
        <v>223</v>
      </c>
      <c r="F33" s="510"/>
      <c r="G33" s="661" t="str">
        <f>IF(【実地研修中の宿泊】=1,"食費(昼食費)","食費")</f>
        <v>食費</v>
      </c>
      <c r="H33" s="662"/>
      <c r="I33" s="663"/>
      <c r="J33" s="533">
        <f>IF(【実地研修中の宿泊】=1,0,【食費_夕食】+【食費_朝食】)</f>
        <v>2200</v>
      </c>
      <c r="K33" s="534">
        <v>1</v>
      </c>
      <c r="L33" s="511">
        <f t="shared" ref="L33:L37" si="2">J33*K33</f>
        <v>2200</v>
      </c>
      <c r="M33" s="702">
        <f t="shared" si="0"/>
        <v>2200</v>
      </c>
      <c r="N33" s="703"/>
      <c r="O33" s="743">
        <f t="shared" si="1"/>
        <v>0</v>
      </c>
      <c r="P33" s="744"/>
      <c r="S33" s="398"/>
      <c r="U33" s="585"/>
      <c r="V33" s="590"/>
      <c r="W33" s="589">
        <f>SUM(W31:W32)</f>
        <v>10930</v>
      </c>
      <c r="Y33" s="396"/>
      <c r="AA33" s="400" t="s">
        <v>200</v>
      </c>
    </row>
    <row r="34" spans="1:28" ht="18.75" customHeight="1" x14ac:dyDescent="0.2">
      <c r="A34" s="509"/>
      <c r="B34" s="669"/>
      <c r="C34" s="660"/>
      <c r="D34" s="176"/>
      <c r="E34" s="532" t="s">
        <v>224</v>
      </c>
      <c r="F34" s="176"/>
      <c r="G34" s="710" t="str">
        <f>IF(【実地研修中の宿泊】=1,"食費(昼食費)","食費")</f>
        <v>食費</v>
      </c>
      <c r="H34" s="711"/>
      <c r="I34" s="712"/>
      <c r="J34" s="535">
        <f>IF(【実地研修中の宿泊】=1,【食費_昼食】,【食費_昼食】+【食費_夕食】+【食費_朝食】)</f>
        <v>3200</v>
      </c>
      <c r="K34" s="536">
        <f>$F$11-1</f>
        <v>71</v>
      </c>
      <c r="L34" s="172">
        <f t="shared" si="2"/>
        <v>227200</v>
      </c>
      <c r="M34" s="694">
        <f t="shared" si="0"/>
        <v>227200</v>
      </c>
      <c r="N34" s="695"/>
      <c r="O34" s="737">
        <f t="shared" si="1"/>
        <v>0</v>
      </c>
      <c r="P34" s="738"/>
      <c r="S34" s="405">
        <f>$M$39</f>
        <v>799050</v>
      </c>
      <c r="U34" s="401" t="s">
        <v>236</v>
      </c>
      <c r="V34" s="402"/>
      <c r="W34" s="408"/>
      <c r="X34" s="382"/>
      <c r="Y34" s="418"/>
      <c r="Z34" s="382"/>
      <c r="AA34" s="403"/>
      <c r="AB34" s="404"/>
    </row>
    <row r="35" spans="1:28" ht="18.75" customHeight="1" x14ac:dyDescent="0.2">
      <c r="A35" s="509"/>
      <c r="B35" s="669"/>
      <c r="C35" s="660"/>
      <c r="D35" s="169" t="s">
        <v>135</v>
      </c>
      <c r="E35" s="169"/>
      <c r="F35" s="169"/>
      <c r="G35" s="374"/>
      <c r="H35" s="374"/>
      <c r="I35" s="375"/>
      <c r="J35" s="170">
        <f>【雑費】</f>
        <v>1000</v>
      </c>
      <c r="K35" s="171">
        <f t="shared" ref="K35:K37" si="3">$F$11</f>
        <v>72</v>
      </c>
      <c r="L35" s="172">
        <f t="shared" si="2"/>
        <v>72000</v>
      </c>
      <c r="M35" s="694">
        <f t="shared" si="0"/>
        <v>72000</v>
      </c>
      <c r="N35" s="695"/>
      <c r="O35" s="737">
        <f t="shared" si="1"/>
        <v>0</v>
      </c>
      <c r="P35" s="738"/>
      <c r="S35" s="393" t="str">
        <f>"("&amp;TEXT(VLOOKUP(【研修申込区分】,【研修申込区分別費用】,3,FALSE),"# ?/?")&amp;" )"</f>
        <v>(1     )</v>
      </c>
      <c r="U35" s="406" t="s">
        <v>201</v>
      </c>
      <c r="V35" s="407"/>
      <c r="W35" s="408">
        <f>$L$26</f>
        <v>0</v>
      </c>
      <c r="X35" s="382"/>
      <c r="Y35" s="418"/>
      <c r="Z35" s="382"/>
      <c r="AA35" s="409" t="s">
        <v>202</v>
      </c>
      <c r="AB35" s="410">
        <f>$W$35</f>
        <v>0</v>
      </c>
    </row>
    <row r="36" spans="1:28" ht="18.75" customHeight="1" x14ac:dyDescent="0.2">
      <c r="A36" s="509"/>
      <c r="B36" s="669"/>
      <c r="C36" s="374" t="s">
        <v>259</v>
      </c>
      <c r="D36" s="169"/>
      <c r="E36" s="169"/>
      <c r="F36" s="169"/>
      <c r="G36" s="374"/>
      <c r="H36" s="374"/>
      <c r="I36" s="153"/>
      <c r="J36" s="572" t="s">
        <v>260</v>
      </c>
      <c r="K36" s="571">
        <f>$F$11</f>
        <v>72</v>
      </c>
      <c r="L36" s="412">
        <f>VLOOKUP("該当",【海外旅行保険】,3,FALSE)</f>
        <v>10930</v>
      </c>
      <c r="M36" s="704">
        <f t="shared" ref="M36" si="4">ROUNDDOWN(L36*$N$25,0)</f>
        <v>10930</v>
      </c>
      <c r="N36" s="705"/>
      <c r="O36" s="745">
        <f t="shared" ref="O36" si="5">ROUNDUP(L36*$P$25,0)</f>
        <v>0</v>
      </c>
      <c r="P36" s="746"/>
      <c r="S36" s="393"/>
      <c r="U36" s="406" t="s">
        <v>203</v>
      </c>
      <c r="V36" s="407"/>
      <c r="W36" s="408">
        <f>IF(【実地研修中の宿泊】=1,0,$L$32)</f>
        <v>113040</v>
      </c>
      <c r="X36" s="382"/>
      <c r="Y36" s="418"/>
      <c r="Z36" s="382"/>
      <c r="AA36" s="411" t="s">
        <v>182</v>
      </c>
      <c r="AB36" s="412">
        <f>$W$36</f>
        <v>113040</v>
      </c>
    </row>
    <row r="37" spans="1:28" ht="18.75" customHeight="1" x14ac:dyDescent="0.2">
      <c r="A37" s="509"/>
      <c r="B37" s="669"/>
      <c r="C37" s="374" t="s">
        <v>139</v>
      </c>
      <c r="D37" s="374"/>
      <c r="E37" s="374"/>
      <c r="F37" s="374"/>
      <c r="G37" s="374"/>
      <c r="H37" s="374"/>
      <c r="I37" s="153"/>
      <c r="J37" s="177">
        <f>VLOOKUP(【研修申込区分】,【研修申込区分別費用】,5,FALSE)</f>
        <v>5190</v>
      </c>
      <c r="K37" s="178">
        <f t="shared" si="3"/>
        <v>72</v>
      </c>
      <c r="L37" s="179">
        <f t="shared" si="2"/>
        <v>373680</v>
      </c>
      <c r="M37" s="692">
        <f t="shared" si="0"/>
        <v>373680</v>
      </c>
      <c r="N37" s="693"/>
      <c r="O37" s="735">
        <f t="shared" si="1"/>
        <v>0</v>
      </c>
      <c r="P37" s="736"/>
      <c r="S37" s="393"/>
      <c r="U37" s="516" t="s">
        <v>227</v>
      </c>
      <c r="V37" s="515"/>
      <c r="W37" s="588">
        <f>SUM($L$33:$L$34)</f>
        <v>229400</v>
      </c>
      <c r="X37" s="415" t="s">
        <v>234</v>
      </c>
      <c r="Y37" s="420"/>
      <c r="Z37" s="591"/>
      <c r="AA37" s="409" t="s">
        <v>204</v>
      </c>
      <c r="AB37" s="413">
        <f>$W$37</f>
        <v>229400</v>
      </c>
    </row>
    <row r="38" spans="1:28" ht="18.75" customHeight="1" thickBot="1" x14ac:dyDescent="0.25">
      <c r="B38" s="691"/>
      <c r="C38" s="180" t="s">
        <v>255</v>
      </c>
      <c r="D38" s="180"/>
      <c r="E38" s="180"/>
      <c r="F38" s="180"/>
      <c r="G38" s="180"/>
      <c r="H38" s="180"/>
      <c r="I38" s="181"/>
      <c r="J38" s="182" t="s">
        <v>159</v>
      </c>
      <c r="K38" s="183" t="s">
        <v>159</v>
      </c>
      <c r="L38" s="184">
        <f>$O$17</f>
        <v>0</v>
      </c>
      <c r="M38" s="706">
        <f t="shared" si="0"/>
        <v>0</v>
      </c>
      <c r="N38" s="707"/>
      <c r="O38" s="739">
        <f t="shared" si="1"/>
        <v>0</v>
      </c>
      <c r="P38" s="740"/>
      <c r="S38" s="546"/>
      <c r="U38" s="406" t="s">
        <v>205</v>
      </c>
      <c r="V38" s="407"/>
      <c r="W38" s="408">
        <f>$L$35</f>
        <v>72000</v>
      </c>
      <c r="X38" s="418">
        <f>$U$29-$W$33</f>
        <v>788120</v>
      </c>
      <c r="Y38" s="382"/>
      <c r="Z38" s="416"/>
      <c r="AA38" s="409" t="s">
        <v>206</v>
      </c>
      <c r="AB38" s="413">
        <f>$W$38</f>
        <v>72000</v>
      </c>
    </row>
    <row r="39" spans="1:28" ht="16.5" customHeight="1" thickBot="1" x14ac:dyDescent="0.25">
      <c r="B39" s="657" t="s">
        <v>160</v>
      </c>
      <c r="C39" s="658"/>
      <c r="D39" s="658"/>
      <c r="E39" s="658"/>
      <c r="F39" s="658"/>
      <c r="G39" s="658"/>
      <c r="H39" s="658"/>
      <c r="I39" s="658"/>
      <c r="J39" s="658"/>
      <c r="K39" s="659"/>
      <c r="L39" s="185">
        <f>SUM(L26:L38)</f>
        <v>799050</v>
      </c>
      <c r="M39" s="772">
        <f>SUM(M26:M38)</f>
        <v>799050</v>
      </c>
      <c r="N39" s="773"/>
      <c r="O39" s="724">
        <f>SUM(O26:O38)</f>
        <v>0</v>
      </c>
      <c r="P39" s="725"/>
      <c r="S39" s="414" t="s">
        <v>249</v>
      </c>
      <c r="U39" s="406" t="s">
        <v>207</v>
      </c>
      <c r="V39" s="407"/>
      <c r="W39" s="408">
        <f>$L$37</f>
        <v>373680</v>
      </c>
      <c r="X39" s="418"/>
      <c r="Y39" s="382"/>
      <c r="Z39" s="382"/>
      <c r="AA39" s="409" t="s">
        <v>208</v>
      </c>
      <c r="AB39" s="410">
        <f>$W$39</f>
        <v>373680</v>
      </c>
    </row>
    <row r="40" spans="1:28" ht="16.5" customHeight="1" x14ac:dyDescent="0.2">
      <c r="A40"/>
      <c r="B40" s="186"/>
      <c r="C40" s="187"/>
      <c r="D40" s="187"/>
      <c r="E40" s="187"/>
      <c r="F40" s="187"/>
      <c r="G40" s="187"/>
      <c r="H40" s="187"/>
      <c r="I40" s="187"/>
      <c r="J40" s="187"/>
      <c r="K40" s="187"/>
      <c r="L40" s="188" t="s">
        <v>161</v>
      </c>
      <c r="M40" s="765" t="s">
        <v>162</v>
      </c>
      <c r="N40" s="765"/>
      <c r="O40" s="765" t="s">
        <v>250</v>
      </c>
      <c r="P40" s="765"/>
      <c r="S40" s="417">
        <f>$O$39</f>
        <v>0</v>
      </c>
      <c r="T40" s="388"/>
      <c r="U40" s="406" t="s">
        <v>209</v>
      </c>
      <c r="V40" s="407"/>
      <c r="W40" s="549">
        <f>$O$17</f>
        <v>0</v>
      </c>
      <c r="X40" s="418"/>
      <c r="Y40" s="382"/>
      <c r="Z40" s="420"/>
      <c r="AA40" s="411" t="s">
        <v>210</v>
      </c>
      <c r="AB40" s="550">
        <f>$O$17</f>
        <v>0</v>
      </c>
    </row>
    <row r="41" spans="1:28" ht="18.75" customHeight="1" thickBot="1" x14ac:dyDescent="0.25"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S41" s="419" t="str">
        <f>"("&amp;TEXT(VLOOKUP(【研修申込区分】,【研修申込区分別費用】,4,FALSE),"# ?/?")&amp;" )"</f>
        <v>(0     )</v>
      </c>
      <c r="U41" s="547"/>
      <c r="V41" s="548"/>
      <c r="W41" s="587">
        <f>SUM(W35:W40)</f>
        <v>788120</v>
      </c>
      <c r="X41" s="420"/>
      <c r="Y41" s="382"/>
      <c r="Z41" s="420"/>
      <c r="AA41" s="551"/>
      <c r="AB41" s="612">
        <f>SUM(AB35:AB40)</f>
        <v>788120</v>
      </c>
    </row>
    <row r="42" spans="1:28" ht="18.75" customHeight="1" x14ac:dyDescent="0.2">
      <c r="B42" s="680" t="s">
        <v>286</v>
      </c>
      <c r="C42" s="680"/>
      <c r="D42" s="680"/>
      <c r="E42" s="680"/>
      <c r="F42" s="680"/>
      <c r="G42" s="680"/>
      <c r="H42" s="680"/>
      <c r="I42" s="680"/>
      <c r="J42" s="680"/>
      <c r="K42" s="680"/>
      <c r="L42" s="680"/>
      <c r="S42" s="545" t="s">
        <v>248</v>
      </c>
      <c r="X42" s="422"/>
      <c r="Y42" s="382"/>
      <c r="Z42" s="420"/>
    </row>
    <row r="43" spans="1:28" ht="18.75" customHeight="1" thickBot="1" x14ac:dyDescent="0.25">
      <c r="B43" s="680"/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P43" s="189"/>
      <c r="S43" s="421" t="str">
        <f>G3</f>
        <v>(コース不参加)</v>
      </c>
      <c r="U43" s="140"/>
      <c r="V43" s="140"/>
      <c r="W43" s="140"/>
      <c r="X43" s="420"/>
      <c r="Y43" s="382"/>
      <c r="Z43" s="416"/>
      <c r="AA43" s="140"/>
      <c r="AB43" s="140"/>
    </row>
    <row r="44" spans="1:28" ht="18.75" customHeight="1" thickBot="1" x14ac:dyDescent="0.25">
      <c r="C44" s="674" t="s">
        <v>163</v>
      </c>
      <c r="D44" s="675"/>
      <c r="E44" s="675"/>
      <c r="F44" s="675"/>
      <c r="G44" s="676"/>
      <c r="H44" s="432"/>
      <c r="I44" s="432"/>
      <c r="J44" s="190" t="s">
        <v>143</v>
      </c>
      <c r="K44" s="190" t="s">
        <v>144</v>
      </c>
      <c r="L44" s="191" t="s">
        <v>164</v>
      </c>
      <c r="S44" s="423">
        <f>$L$46</f>
        <v>122000</v>
      </c>
      <c r="U44" s="140"/>
      <c r="V44" s="140"/>
      <c r="W44" s="140"/>
      <c r="X44" s="420"/>
      <c r="Y44" s="382"/>
      <c r="Z44" s="416"/>
      <c r="AA44" s="140"/>
      <c r="AB44" s="140"/>
    </row>
    <row r="45" spans="1:28" ht="18.75" customHeight="1" x14ac:dyDescent="0.2">
      <c r="C45" s="669" t="s">
        <v>287</v>
      </c>
      <c r="D45" s="156" t="s">
        <v>251</v>
      </c>
      <c r="E45" s="192"/>
      <c r="F45" s="192"/>
      <c r="G45" s="192"/>
      <c r="H45" s="192"/>
      <c r="I45" s="192"/>
      <c r="J45" s="192"/>
      <c r="K45" s="192"/>
      <c r="L45" s="193">
        <f>O39</f>
        <v>0</v>
      </c>
      <c r="S45" s="424"/>
      <c r="U45" s="140"/>
      <c r="V45" s="140"/>
      <c r="W45" s="140"/>
      <c r="X45" s="420"/>
      <c r="Y45" s="382"/>
      <c r="Z45" s="382"/>
    </row>
    <row r="46" spans="1:28" ht="18.75" customHeight="1" thickBot="1" x14ac:dyDescent="0.25">
      <c r="C46" s="669"/>
      <c r="D46" s="156" t="s">
        <v>301</v>
      </c>
      <c r="E46" s="192"/>
      <c r="F46" s="192"/>
      <c r="G46" s="192"/>
      <c r="H46" s="192"/>
      <c r="I46" s="192"/>
      <c r="J46" s="194">
        <f>VLOOKUP(【研修申込区分】,【研修申込区分別費用】,6,FALSE)</f>
        <v>122000</v>
      </c>
      <c r="K46" s="195">
        <v>1</v>
      </c>
      <c r="L46" s="196">
        <f>J46</f>
        <v>122000</v>
      </c>
      <c r="S46" s="393"/>
      <c r="U46" s="140"/>
      <c r="V46" s="140"/>
      <c r="W46" s="140"/>
      <c r="X46" s="420"/>
      <c r="Y46" s="382"/>
      <c r="Z46" s="425"/>
      <c r="AA46" s="426">
        <f>AA48+AA52</f>
        <v>122000</v>
      </c>
      <c r="AB46" s="140"/>
    </row>
    <row r="47" spans="1:28" ht="18.75" customHeight="1" thickBot="1" x14ac:dyDescent="0.25">
      <c r="C47" s="670"/>
      <c r="D47" s="197"/>
      <c r="E47" s="211"/>
      <c r="F47" s="211"/>
      <c r="G47" s="212"/>
      <c r="H47" s="212"/>
      <c r="I47" s="212"/>
      <c r="J47" s="198"/>
      <c r="K47" s="199"/>
      <c r="L47" s="200"/>
      <c r="S47" s="398"/>
      <c r="U47" s="140"/>
      <c r="V47" s="140"/>
      <c r="W47" s="140"/>
      <c r="X47" s="420"/>
      <c r="Y47" s="382"/>
      <c r="Z47" s="420"/>
      <c r="AA47" s="427" t="s">
        <v>249</v>
      </c>
    </row>
    <row r="48" spans="1:28" ht="18.75" customHeight="1" thickBot="1" x14ac:dyDescent="0.25">
      <c r="C48" s="657" t="s">
        <v>160</v>
      </c>
      <c r="D48" s="658"/>
      <c r="E48" s="658"/>
      <c r="F48" s="658"/>
      <c r="G48" s="658"/>
      <c r="H48" s="658"/>
      <c r="I48" s="658"/>
      <c r="J48" s="658"/>
      <c r="K48" s="659"/>
      <c r="L48" s="201">
        <f>SUM(L45:L47)</f>
        <v>122000</v>
      </c>
      <c r="M48" s="202" t="s">
        <v>212</v>
      </c>
      <c r="S48" s="398" t="s">
        <v>199</v>
      </c>
      <c r="U48" s="140"/>
      <c r="V48" s="140"/>
      <c r="W48" s="140"/>
      <c r="X48" s="420" t="s">
        <v>241</v>
      </c>
      <c r="Y48" s="382"/>
      <c r="Z48" s="420"/>
      <c r="AA48" s="417">
        <f>$S$40</f>
        <v>0</v>
      </c>
    </row>
    <row r="49" spans="2:28" ht="18.75" customHeight="1" thickBot="1" x14ac:dyDescent="0.25">
      <c r="B49" s="151"/>
      <c r="S49" s="405"/>
      <c r="U49" s="140"/>
      <c r="V49" s="140"/>
      <c r="W49" s="140"/>
      <c r="X49" s="415">
        <f>$AA$48+$AA$52</f>
        <v>122000</v>
      </c>
      <c r="Y49" s="382"/>
      <c r="Z49" s="425"/>
      <c r="AA49" s="419" t="str">
        <f>$S$41</f>
        <v>(0     )</v>
      </c>
    </row>
    <row r="50" spans="2:28" ht="52.5" customHeight="1" x14ac:dyDescent="0.2">
      <c r="C50" s="764" t="s">
        <v>300</v>
      </c>
      <c r="D50" s="764"/>
      <c r="E50" s="764"/>
      <c r="F50" s="764"/>
      <c r="G50" s="764"/>
      <c r="H50" s="764"/>
      <c r="I50" s="764"/>
      <c r="J50" s="764"/>
      <c r="K50" s="764"/>
      <c r="L50" s="764"/>
      <c r="M50" s="764"/>
      <c r="N50" s="764"/>
      <c r="O50" s="764"/>
      <c r="P50" s="764"/>
      <c r="Q50" s="764"/>
      <c r="S50" s="393"/>
      <c r="U50" s="140"/>
      <c r="V50" s="140"/>
      <c r="W50" s="140"/>
      <c r="Y50" s="140"/>
      <c r="Z50" s="140"/>
      <c r="AA50" s="552" t="s">
        <v>248</v>
      </c>
    </row>
    <row r="51" spans="2:28" ht="27.75" customHeight="1" thickBot="1" x14ac:dyDescent="0.25">
      <c r="C51" s="764"/>
      <c r="D51" s="764"/>
      <c r="E51" s="764"/>
      <c r="F51" s="764"/>
      <c r="G51" s="764"/>
      <c r="H51" s="764"/>
      <c r="I51" s="764"/>
      <c r="J51" s="764"/>
      <c r="K51" s="764"/>
      <c r="L51" s="764"/>
      <c r="M51" s="764"/>
      <c r="N51" s="764"/>
      <c r="O51" s="764"/>
      <c r="P51" s="764"/>
      <c r="Q51" s="764"/>
      <c r="S51" s="620"/>
      <c r="U51" s="140"/>
      <c r="V51" s="140"/>
      <c r="W51" s="140"/>
      <c r="Y51" s="140"/>
      <c r="Z51" s="140"/>
      <c r="AA51" s="421" t="str">
        <f>$S$43</f>
        <v>(コース不参加)</v>
      </c>
    </row>
    <row r="52" spans="2:28" ht="18.75" customHeight="1" thickBot="1" x14ac:dyDescent="0.25">
      <c r="P52" s="160"/>
      <c r="S52" s="140"/>
      <c r="U52" s="140"/>
      <c r="V52" s="140"/>
      <c r="W52" s="140"/>
      <c r="Y52" s="140"/>
      <c r="AA52" s="428">
        <f>$S$44</f>
        <v>122000</v>
      </c>
    </row>
    <row r="53" spans="2:28" ht="18.75" customHeight="1" thickBot="1" x14ac:dyDescent="0.25">
      <c r="B53" s="680" t="s">
        <v>279</v>
      </c>
      <c r="C53" s="680"/>
      <c r="D53" s="680"/>
      <c r="E53" s="680"/>
      <c r="F53" s="680"/>
      <c r="G53" s="680"/>
      <c r="H53" s="680"/>
      <c r="I53" s="680"/>
      <c r="J53" s="680"/>
      <c r="K53" s="680"/>
      <c r="L53" s="680"/>
      <c r="P53" s="160"/>
      <c r="S53" s="140"/>
      <c r="U53" s="140"/>
      <c r="V53" s="140"/>
      <c r="W53" s="140"/>
      <c r="Y53" s="429" t="s">
        <v>242</v>
      </c>
    </row>
    <row r="54" spans="2:28" ht="18.75" customHeight="1" thickBot="1" x14ac:dyDescent="0.25">
      <c r="B54" s="680"/>
      <c r="C54" s="680"/>
      <c r="D54" s="680"/>
      <c r="E54" s="680"/>
      <c r="F54" s="680"/>
      <c r="G54" s="680"/>
      <c r="H54" s="680"/>
      <c r="I54" s="680"/>
      <c r="J54" s="680"/>
      <c r="K54" s="680"/>
      <c r="L54" s="680"/>
      <c r="P54" s="160"/>
      <c r="T54" s="617"/>
      <c r="U54" s="618"/>
      <c r="Y54" s="387" t="s">
        <v>211</v>
      </c>
    </row>
    <row r="55" spans="2:28" ht="18.75" customHeight="1" thickBot="1" x14ac:dyDescent="0.25">
      <c r="C55" s="674" t="s">
        <v>163</v>
      </c>
      <c r="D55" s="675"/>
      <c r="E55" s="675"/>
      <c r="F55" s="675"/>
      <c r="G55" s="675"/>
      <c r="H55" s="675"/>
      <c r="I55" s="676"/>
      <c r="J55" s="190" t="s">
        <v>143</v>
      </c>
      <c r="K55" s="190" t="s">
        <v>144</v>
      </c>
      <c r="L55" s="191" t="s">
        <v>0</v>
      </c>
      <c r="P55" s="160"/>
      <c r="T55" s="617"/>
      <c r="U55" s="618"/>
      <c r="Y55" s="430">
        <f>$X$38-$X$49</f>
        <v>666120</v>
      </c>
    </row>
    <row r="56" spans="2:28" ht="18.75" customHeight="1" x14ac:dyDescent="0.2">
      <c r="C56" s="667" t="s">
        <v>165</v>
      </c>
      <c r="D56" s="459" t="s">
        <v>152</v>
      </c>
      <c r="E56" s="459"/>
      <c r="F56" s="459"/>
      <c r="G56" s="460"/>
      <c r="H56" s="460"/>
      <c r="I56" s="460"/>
      <c r="J56" s="461"/>
      <c r="K56" s="459"/>
      <c r="L56" s="462"/>
      <c r="P56" s="160"/>
      <c r="T56" s="617"/>
      <c r="U56" s="618"/>
      <c r="Y56" s="381" t="str">
        <f>IF(Y55&lt;0,AA56,AA57)</f>
        <v>AOTSから企業へお支払いいたします</v>
      </c>
      <c r="AA56" s="431" t="s">
        <v>243</v>
      </c>
    </row>
    <row r="57" spans="2:28" ht="18.75" customHeight="1" x14ac:dyDescent="0.2">
      <c r="C57" s="667"/>
      <c r="D57" s="459"/>
      <c r="E57" s="437" t="s">
        <v>153</v>
      </c>
      <c r="F57" s="438"/>
      <c r="G57" s="677" t="s">
        <v>154</v>
      </c>
      <c r="H57" s="678"/>
      <c r="I57" s="679"/>
      <c r="J57" s="439"/>
      <c r="K57" s="463"/>
      <c r="L57" s="441"/>
      <c r="P57" s="160"/>
      <c r="U57" s="619"/>
      <c r="W57" s="140"/>
      <c r="X57" s="140"/>
      <c r="Y57" s="140"/>
      <c r="Z57" s="140"/>
      <c r="AA57" s="431" t="s">
        <v>244</v>
      </c>
      <c r="AB57" s="140"/>
    </row>
    <row r="58" spans="2:28" ht="18.75" customHeight="1" x14ac:dyDescent="0.2">
      <c r="C58" s="667"/>
      <c r="D58" s="436"/>
      <c r="E58" s="437" t="s">
        <v>155</v>
      </c>
      <c r="F58" s="438"/>
      <c r="G58" s="677" t="s">
        <v>154</v>
      </c>
      <c r="H58" s="678"/>
      <c r="I58" s="679"/>
      <c r="J58" s="439"/>
      <c r="K58" s="464"/>
      <c r="L58" s="441"/>
      <c r="P58" s="160"/>
      <c r="S58" s="140"/>
      <c r="T58" s="140"/>
      <c r="U58" s="140"/>
      <c r="V58" s="140"/>
      <c r="W58" s="140"/>
      <c r="X58" s="140"/>
      <c r="Y58" s="140"/>
      <c r="Z58" s="140"/>
      <c r="AA58" s="431"/>
      <c r="AB58" s="140"/>
    </row>
    <row r="59" spans="2:28" ht="18.75" customHeight="1" x14ac:dyDescent="0.2">
      <c r="C59" s="667"/>
      <c r="D59" s="459"/>
      <c r="E59" s="445" t="s">
        <v>156</v>
      </c>
      <c r="F59" s="465"/>
      <c r="G59" s="681" t="s">
        <v>157</v>
      </c>
      <c r="H59" s="682"/>
      <c r="I59" s="683"/>
      <c r="J59" s="447"/>
      <c r="K59" s="466"/>
      <c r="L59" s="449"/>
      <c r="P59" s="160"/>
    </row>
    <row r="60" spans="2:28" ht="16.5" customHeight="1" x14ac:dyDescent="0.2">
      <c r="C60" s="667"/>
      <c r="D60" s="467"/>
      <c r="E60" s="450"/>
      <c r="F60" s="468"/>
      <c r="G60" s="664" t="s">
        <v>22</v>
      </c>
      <c r="H60" s="665"/>
      <c r="I60" s="666"/>
      <c r="J60" s="452"/>
      <c r="K60" s="469"/>
      <c r="L60" s="454"/>
      <c r="P60" s="203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</row>
    <row r="61" spans="2:28" ht="16.5" customHeight="1" x14ac:dyDescent="0.2">
      <c r="C61" s="667"/>
      <c r="D61" s="373" t="s">
        <v>259</v>
      </c>
      <c r="E61" s="169"/>
      <c r="F61" s="169"/>
      <c r="G61" s="581"/>
      <c r="H61" s="110"/>
      <c r="I61" s="15"/>
      <c r="J61" s="584" t="s">
        <v>260</v>
      </c>
      <c r="K61" s="582">
        <f>$K$36</f>
        <v>72</v>
      </c>
      <c r="L61" s="583">
        <f>$L$36</f>
        <v>10930</v>
      </c>
      <c r="P61" s="203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</row>
    <row r="62" spans="2:28" ht="16.5" customHeight="1" thickBot="1" x14ac:dyDescent="0.25">
      <c r="C62" s="668"/>
      <c r="D62" s="204" t="s">
        <v>158</v>
      </c>
      <c r="E62" s="204"/>
      <c r="F62" s="204"/>
      <c r="G62" s="671" t="s">
        <v>157</v>
      </c>
      <c r="H62" s="672"/>
      <c r="I62" s="673"/>
      <c r="J62" s="205">
        <f>IF(【実地研修中の宿泊】=1,$J$32,0)</f>
        <v>0</v>
      </c>
      <c r="K62" s="206">
        <f>IF(J62=0,0,$K$32)</f>
        <v>0</v>
      </c>
      <c r="L62" s="207">
        <f>J62*K62</f>
        <v>0</v>
      </c>
      <c r="S62" s="140"/>
      <c r="T62" s="140"/>
      <c r="U62" s="140"/>
      <c r="V62" s="140"/>
      <c r="W62" s="140"/>
      <c r="X62" s="140"/>
      <c r="Y62" s="140"/>
      <c r="Z62" s="140"/>
      <c r="AA62" s="140"/>
      <c r="AB62" s="140"/>
    </row>
    <row r="63" spans="2:28" ht="17.149999999999999" customHeight="1" thickBot="1" x14ac:dyDescent="0.25">
      <c r="C63" s="657" t="s">
        <v>160</v>
      </c>
      <c r="D63" s="658"/>
      <c r="E63" s="658"/>
      <c r="F63" s="658"/>
      <c r="G63" s="658"/>
      <c r="H63" s="658"/>
      <c r="I63" s="658"/>
      <c r="J63" s="658"/>
      <c r="K63" s="659"/>
      <c r="L63" s="208">
        <f>SUM(L57:L62)</f>
        <v>10930</v>
      </c>
      <c r="M63" s="202" t="s">
        <v>213</v>
      </c>
      <c r="Z63" s="140"/>
      <c r="AA63" s="140"/>
      <c r="AB63" s="140"/>
    </row>
    <row r="64" spans="2:28" ht="17.149999999999999" customHeight="1" x14ac:dyDescent="0.2">
      <c r="C64" s="209"/>
      <c r="D64" s="209"/>
      <c r="E64" s="209"/>
      <c r="F64" s="209"/>
      <c r="G64" s="209"/>
      <c r="H64" s="209"/>
      <c r="I64" s="209"/>
      <c r="J64" s="209"/>
      <c r="K64" s="209"/>
      <c r="L64" s="210"/>
      <c r="N64" s="202"/>
      <c r="S64" s="140"/>
      <c r="T64" s="140"/>
      <c r="U64" s="140"/>
      <c r="V64" s="140"/>
      <c r="W64" s="140"/>
      <c r="X64" s="140"/>
      <c r="Y64" s="140"/>
      <c r="AB64" s="140"/>
    </row>
    <row r="65" spans="2:28" ht="15" customHeight="1" x14ac:dyDescent="0.2">
      <c r="B65" s="140" t="s">
        <v>280</v>
      </c>
      <c r="S65" s="140"/>
      <c r="T65" s="140"/>
      <c r="U65" s="140"/>
      <c r="V65" s="140"/>
      <c r="W65" s="140"/>
      <c r="X65" s="140"/>
      <c r="Y65" s="140"/>
      <c r="Z65" s="140"/>
      <c r="AA65" s="140"/>
    </row>
    <row r="66" spans="2:28" ht="13.5" customHeight="1" x14ac:dyDescent="0.2">
      <c r="Z66" s="140"/>
      <c r="AA66" s="140"/>
      <c r="AB66" s="140"/>
    </row>
    <row r="67" spans="2:28" ht="13.5" customHeight="1" x14ac:dyDescent="0.2">
      <c r="AB67" s="140"/>
    </row>
  </sheetData>
  <sheetProtection formatCells="0"/>
  <mergeCells count="76">
    <mergeCell ref="B22:P23"/>
    <mergeCell ref="G26:I26"/>
    <mergeCell ref="G28:I28"/>
    <mergeCell ref="G29:I29"/>
    <mergeCell ref="C50:Q51"/>
    <mergeCell ref="O40:P40"/>
    <mergeCell ref="L24:L25"/>
    <mergeCell ref="K24:K25"/>
    <mergeCell ref="J24:J25"/>
    <mergeCell ref="M40:N40"/>
    <mergeCell ref="O24:P24"/>
    <mergeCell ref="M39:N39"/>
    <mergeCell ref="M31:N31"/>
    <mergeCell ref="M32:N32"/>
    <mergeCell ref="B39:K39"/>
    <mergeCell ref="G31:I31"/>
    <mergeCell ref="W19:X19"/>
    <mergeCell ref="L8:N9"/>
    <mergeCell ref="F9:G9"/>
    <mergeCell ref="K8:K9"/>
    <mergeCell ref="O17:O18"/>
    <mergeCell ref="P17:P18"/>
    <mergeCell ref="F13:G13"/>
    <mergeCell ref="I13:J13"/>
    <mergeCell ref="F16:I16"/>
    <mergeCell ref="N17:N18"/>
    <mergeCell ref="O39:P39"/>
    <mergeCell ref="O26:P26"/>
    <mergeCell ref="O27:P27"/>
    <mergeCell ref="O28:P28"/>
    <mergeCell ref="O29:P29"/>
    <mergeCell ref="O30:P30"/>
    <mergeCell ref="O37:P37"/>
    <mergeCell ref="O35:P35"/>
    <mergeCell ref="O38:P38"/>
    <mergeCell ref="O31:P31"/>
    <mergeCell ref="O33:P33"/>
    <mergeCell ref="O36:P36"/>
    <mergeCell ref="O32:P32"/>
    <mergeCell ref="O34:P34"/>
    <mergeCell ref="O3:P3"/>
    <mergeCell ref="W11:X11"/>
    <mergeCell ref="W8:X8"/>
    <mergeCell ref="W15:X15"/>
    <mergeCell ref="F5:K5"/>
    <mergeCell ref="B24:I25"/>
    <mergeCell ref="B26:B38"/>
    <mergeCell ref="M37:N37"/>
    <mergeCell ref="M34:N34"/>
    <mergeCell ref="M35:N35"/>
    <mergeCell ref="M26:N26"/>
    <mergeCell ref="M27:N27"/>
    <mergeCell ref="M28:N28"/>
    <mergeCell ref="M33:N33"/>
    <mergeCell ref="M36:N36"/>
    <mergeCell ref="M38:N38"/>
    <mergeCell ref="M24:N24"/>
    <mergeCell ref="G34:I34"/>
    <mergeCell ref="G30:I30"/>
    <mergeCell ref="M29:N29"/>
    <mergeCell ref="M30:N30"/>
    <mergeCell ref="C63:K63"/>
    <mergeCell ref="C48:K48"/>
    <mergeCell ref="C27:C35"/>
    <mergeCell ref="G33:I33"/>
    <mergeCell ref="G60:I60"/>
    <mergeCell ref="C56:C62"/>
    <mergeCell ref="C45:C47"/>
    <mergeCell ref="G62:I62"/>
    <mergeCell ref="C55:I55"/>
    <mergeCell ref="G57:I57"/>
    <mergeCell ref="G58:I58"/>
    <mergeCell ref="C44:G44"/>
    <mergeCell ref="B42:L43"/>
    <mergeCell ref="B53:L54"/>
    <mergeCell ref="G59:I59"/>
  </mergeCells>
  <phoneticPr fontId="2"/>
  <conditionalFormatting sqref="O11 O17">
    <cfRule type="cellIs" dxfId="30" priority="4" stopIfTrue="1" operator="equal">
      <formula>0</formula>
    </cfRule>
  </conditionalFormatting>
  <conditionalFormatting sqref="O26:P26">
    <cfRule type="cellIs" dxfId="29" priority="3" operator="greaterThan">
      <formula>0</formula>
    </cfRule>
  </conditionalFormatting>
  <dataValidations xWindow="403" yWindow="205" count="2">
    <dataValidation imeMode="off" allowBlank="1" showInputMessage="1" showErrorMessage="1" sqref="O9:O10 O14:O16 J16 G15:I15 F11" xr:uid="{00000000-0002-0000-0000-000000000000}"/>
    <dataValidation type="date" imeMode="off" operator="greaterThanOrEqual" allowBlank="1" showErrorMessage="1" sqref="O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0" orientation="landscape" r:id="rId1"/>
  <headerFooter alignWithMargins="0">
    <oddHeader>&amp;R費用試算（コース不参加）：2025年度版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8" r:id="rId4" name="Drop Down 530">
              <controlPr defaultSize="0" autoLine="0" autoPict="0">
                <anchor moveWithCells="1">
                  <from>
                    <xdr:col>12</xdr:col>
                    <xdr:colOff>381000</xdr:colOff>
                    <xdr:row>7</xdr:row>
                    <xdr:rowOff>127000</xdr:rowOff>
                  </from>
                  <to>
                    <xdr:col>14</xdr:col>
                    <xdr:colOff>260350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" name="Drop Down 526">
              <controlPr defaultSize="0" autoLine="0" autoPict="0">
                <anchor moveWithCells="1">
                  <from>
                    <xdr:col>4</xdr:col>
                    <xdr:colOff>508000</xdr:colOff>
                    <xdr:row>6</xdr:row>
                    <xdr:rowOff>0</xdr:rowOff>
                  </from>
                  <to>
                    <xdr:col>14</xdr:col>
                    <xdr:colOff>247650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B1915C2-D37F-4F70-A515-9148503FBC6F}">
            <xm:f>OR(計算シート!$B$33=6,計算シート!$B$33=7,計算シート!$B$33=8)</xm:f>
            <x14:dxf>
              <font>
                <color auto="1"/>
              </font>
            </x14:dxf>
          </x14:cfRule>
          <xm:sqref>C50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53"/>
  <sheetViews>
    <sheetView showGridLines="0" topLeftCell="A21" zoomScale="85" zoomScaleNormal="85" workbookViewId="0">
      <selection activeCell="J34" sqref="J34"/>
    </sheetView>
  </sheetViews>
  <sheetFormatPr defaultColWidth="9" defaultRowHeight="13.5" customHeight="1" x14ac:dyDescent="0.2"/>
  <cols>
    <col min="1" max="1" width="5.08984375" style="140" customWidth="1"/>
    <col min="2" max="2" width="3.453125" style="140" customWidth="1"/>
    <col min="3" max="3" width="9.6328125" style="140" customWidth="1"/>
    <col min="4" max="4" width="13.6328125" style="140" customWidth="1"/>
    <col min="5" max="5" width="13.6328125" style="140" bestFit="1" customWidth="1"/>
    <col min="6" max="6" width="7.6328125" style="140" customWidth="1"/>
    <col min="7" max="7" width="8.90625" style="140" customWidth="1"/>
    <col min="8" max="8" width="7.6328125" style="140" customWidth="1"/>
    <col min="9" max="9" width="8.26953125" style="140" customWidth="1"/>
    <col min="10" max="10" width="7.6328125" style="140" customWidth="1"/>
    <col min="11" max="11" width="8.36328125" style="140" customWidth="1"/>
    <col min="12" max="12" width="7.6328125" style="140" customWidth="1"/>
    <col min="13" max="13" width="8.36328125" style="140" customWidth="1"/>
    <col min="14" max="14" width="7.6328125" style="140" customWidth="1"/>
    <col min="15" max="15" width="8.36328125" style="140" customWidth="1"/>
    <col min="16" max="16" width="7.6328125" style="140" customWidth="1"/>
    <col min="17" max="17" width="8.26953125" style="140" customWidth="1"/>
    <col min="18" max="18" width="7.6328125" style="140" customWidth="1"/>
    <col min="19" max="19" width="8.26953125" style="140" customWidth="1"/>
    <col min="20" max="20" width="7.6328125" style="140" customWidth="1"/>
    <col min="21" max="21" width="8.26953125" style="140" customWidth="1"/>
    <col min="22" max="22" width="7.6328125" style="140" customWidth="1"/>
    <col min="23" max="23" width="8.26953125" style="140" customWidth="1"/>
    <col min="24" max="24" width="7.6328125" style="140" customWidth="1"/>
    <col min="25" max="25" width="8.26953125" style="140" customWidth="1"/>
    <col min="26" max="26" width="7.6328125" style="140" customWidth="1"/>
    <col min="27" max="27" width="8.26953125" style="140" customWidth="1"/>
    <col min="28" max="28" width="7.6328125" style="140" customWidth="1"/>
    <col min="29" max="29" width="8.26953125" style="140" customWidth="1"/>
    <col min="30" max="30" width="7.6328125" style="140" customWidth="1"/>
    <col min="31" max="31" width="8.08984375" style="140" customWidth="1"/>
    <col min="32" max="32" width="9.36328125" style="140" bestFit="1" customWidth="1"/>
    <col min="33" max="16384" width="9" style="140"/>
  </cols>
  <sheetData>
    <row r="1" spans="1:33" ht="21" customHeight="1" x14ac:dyDescent="0.2">
      <c r="A1" s="139" t="s">
        <v>216</v>
      </c>
      <c r="E1" s="215" t="s">
        <v>217</v>
      </c>
      <c r="F1" s="835">
        <f ca="1">コース不参加費用試算!O3</f>
        <v>46118</v>
      </c>
      <c r="G1" s="835"/>
    </row>
    <row r="2" spans="1:33" ht="21" customHeight="1" x14ac:dyDescent="0.2"/>
    <row r="3" spans="1:33" ht="21" customHeight="1" x14ac:dyDescent="0.2">
      <c r="A3" s="3"/>
      <c r="C3" s="819"/>
      <c r="D3" s="819"/>
      <c r="E3" s="216" t="s">
        <v>218</v>
      </c>
      <c r="F3" s="1" t="str">
        <f>"一般研修"&amp;コース不参加費用試算!G3</f>
        <v>一般研修(コース不参加)</v>
      </c>
      <c r="G3" s="1"/>
      <c r="H3" s="1"/>
    </row>
    <row r="4" spans="1:33" ht="21" customHeight="1" x14ac:dyDescent="0.2">
      <c r="B4" s="820"/>
      <c r="C4" s="820"/>
      <c r="E4" s="1"/>
      <c r="F4" s="1" t="s">
        <v>219</v>
      </c>
      <c r="G4" s="1"/>
      <c r="H4" s="217" t="str">
        <f>TEXT(コース不参加費用試算!$F$13,"yyyy/mm/dd")&amp;"～"&amp;TEXT(コース不参加費用試算!$I$13,"yyyy/mm/dd")&amp;"("&amp;コース不参加費用試算!$F$11&amp;"日)"</f>
        <v>2026/05/20～2026/07/30(72日)</v>
      </c>
    </row>
    <row r="5" spans="1:33" ht="13.5" customHeight="1" thickBot="1" x14ac:dyDescent="0.25"/>
    <row r="6" spans="1:33" ht="21" customHeight="1" x14ac:dyDescent="0.2">
      <c r="E6" s="218"/>
      <c r="F6" s="849" t="str">
        <f>IF(F7="","","1ヶ月目")</f>
        <v>1ヶ月目</v>
      </c>
      <c r="G6" s="818"/>
      <c r="H6" s="817" t="str">
        <f>IF(H7="","","2ヶ月目")</f>
        <v>2ヶ月目</v>
      </c>
      <c r="I6" s="818"/>
      <c r="J6" s="817" t="str">
        <f>IF(J7="","","3ヶ月目")</f>
        <v>3ヶ月目</v>
      </c>
      <c r="K6" s="818"/>
      <c r="L6" s="817" t="str">
        <f>IF(L7="","","4ヶ月目")</f>
        <v/>
      </c>
      <c r="M6" s="818"/>
      <c r="N6" s="817" t="str">
        <f>IF(N7="","","5ヶ月目")</f>
        <v/>
      </c>
      <c r="O6" s="818"/>
      <c r="P6" s="817" t="str">
        <f>IF(P7="","","6ヶ月目")</f>
        <v/>
      </c>
      <c r="Q6" s="818"/>
      <c r="R6" s="817" t="str">
        <f>IF(R7="","","7ヶ月目")</f>
        <v/>
      </c>
      <c r="S6" s="818"/>
      <c r="T6" s="817" t="str">
        <f>IF(T7="","","8ヶ月目")</f>
        <v/>
      </c>
      <c r="U6" s="818"/>
      <c r="V6" s="817" t="str">
        <f>IF(V7="","","9ヶ月目")</f>
        <v/>
      </c>
      <c r="W6" s="818"/>
      <c r="X6" s="817" t="str">
        <f>IF(X7="","","10ヶ月目")</f>
        <v/>
      </c>
      <c r="Y6" s="818"/>
      <c r="Z6" s="817" t="str">
        <f>IF(Z7="","","11ヶ月目")</f>
        <v/>
      </c>
      <c r="AA6" s="818"/>
      <c r="AB6" s="817" t="str">
        <f>IF(AB7="","","12ヶ月目")</f>
        <v/>
      </c>
      <c r="AC6" s="818"/>
      <c r="AD6" s="817" t="str">
        <f>IF(AD7="","","13ヶ月目")</f>
        <v/>
      </c>
      <c r="AE6" s="844"/>
      <c r="AF6" s="842" t="s">
        <v>98</v>
      </c>
    </row>
    <row r="7" spans="1:33" ht="21" customHeight="1" x14ac:dyDescent="0.2">
      <c r="E7" s="219" t="s">
        <v>99</v>
      </c>
      <c r="F7" s="845" t="str">
        <f>IF(F10=0,"",YEAR(計算シート!$R15)&amp;"年"&amp;MONTH(計算シート!$R15)&amp;"月")</f>
        <v>2026年5月</v>
      </c>
      <c r="G7" s="834"/>
      <c r="H7" s="833" t="str">
        <f>IF(H10=0,"",IF(MONTH(計算シート!$R15)=12,YEAR(計算シート!$R16)&amp;"年"&amp;MONTH(計算シート!$R16)&amp;"月",MONTH(計算シート!$R16)&amp;"月"))</f>
        <v>6月</v>
      </c>
      <c r="I7" s="834"/>
      <c r="J7" s="833" t="str">
        <f>IF(J10=0,"",IF(MONTH(計算シート!$R16)=12,YEAR(計算シート!$R17)&amp;"年"&amp;MONTH(計算シート!$R17)&amp;"月",MONTH(計算シート!$R17)&amp;"月"))</f>
        <v>7月</v>
      </c>
      <c r="K7" s="834"/>
      <c r="L7" s="833" t="str">
        <f>IF(L10=0,"",IF(MONTH(計算シート!$R17)=12,YEAR(計算シート!$R18)&amp;"年"&amp;MONTH(計算シート!$R18)&amp;"月",MONTH(計算シート!$R18)&amp;"月"))</f>
        <v/>
      </c>
      <c r="M7" s="834"/>
      <c r="N7" s="833" t="str">
        <f>IF(N10=0,"",IF(MONTH(計算シート!$R18)=12,YEAR(計算シート!$R19)&amp;"年"&amp;MONTH(計算シート!$R19)&amp;"月",MONTH(計算シート!$R19)&amp;"月"))</f>
        <v/>
      </c>
      <c r="O7" s="834"/>
      <c r="P7" s="833" t="str">
        <f>IF(P10=0,"",IF(MONTH(計算シート!$R19)=12,YEAR(計算シート!$R20)&amp;"年"&amp;MONTH(計算シート!$R20)&amp;"月",MONTH(計算シート!$R20)&amp;"月"))</f>
        <v/>
      </c>
      <c r="Q7" s="834"/>
      <c r="R7" s="833" t="str">
        <f>IF(R10=0,"",IF(MONTH(計算シート!$R20)=12,YEAR(計算シート!$R21)&amp;"年"&amp;MONTH(計算シート!$R21)&amp;"月",MONTH(計算シート!$R21)&amp;"月"))</f>
        <v/>
      </c>
      <c r="S7" s="834"/>
      <c r="T7" s="833" t="str">
        <f>IF(T10=0,"",IF(MONTH(計算シート!$R21)=12,YEAR(計算シート!$R22)&amp;"年"&amp;MONTH(計算シート!$R22)&amp;"月",MONTH(計算シート!$R22)&amp;"月"))</f>
        <v/>
      </c>
      <c r="U7" s="834"/>
      <c r="V7" s="833" t="str">
        <f>IF(V10=0,"",IF(MONTH(計算シート!$R22)=12,YEAR(計算シート!$R23)&amp;"年"&amp;MONTH(計算シート!$R23)&amp;"月",MONTH(計算シート!$R23)&amp;"月"))</f>
        <v/>
      </c>
      <c r="W7" s="834"/>
      <c r="X7" s="833" t="str">
        <f>IF(X10=0,"",IF(MONTH(計算シート!$R23)=12,YEAR(計算シート!$R24)&amp;"年"&amp;MONTH(計算シート!$R24)&amp;"月",MONTH(計算シート!$R24)&amp;"月"))</f>
        <v/>
      </c>
      <c r="Y7" s="834"/>
      <c r="Z7" s="833" t="str">
        <f>IF(Z10=0,"",IF(MONTH(計算シート!$R24)=12,YEAR(計算シート!$R25)&amp;"年"&amp;MONTH(計算シート!$R25)&amp;"月",MONTH(計算シート!$R25)&amp;"月"))</f>
        <v/>
      </c>
      <c r="AA7" s="834"/>
      <c r="AB7" s="833" t="str">
        <f>IF(AB10=0,"",IF(MONTH(計算シート!$R25)=12,YEAR(計算シート!$R26)&amp;"年"&amp;MONTH(計算シート!$R26)&amp;"月",MONTH(計算シート!$R26)&amp;"月"))</f>
        <v/>
      </c>
      <c r="AC7" s="834"/>
      <c r="AD7" s="833" t="str">
        <f>IF(AD10=0,"",IF(MONTH(計算シート!$R26)=12,YEAR(計算シート!$R27)&amp;"年"&amp;MONTH(計算シート!$R27)&amp;"月",MONTH(計算シート!$R27)&amp;"月"))</f>
        <v/>
      </c>
      <c r="AE7" s="834"/>
      <c r="AF7" s="843"/>
    </row>
    <row r="8" spans="1:33" ht="21" customHeight="1" x14ac:dyDescent="0.2">
      <c r="E8" s="494" t="s">
        <v>100</v>
      </c>
      <c r="F8" s="503">
        <f>計算シート!V15</f>
        <v>0</v>
      </c>
      <c r="G8" s="504" t="s">
        <v>96</v>
      </c>
      <c r="H8" s="505">
        <f>計算シート!V16</f>
        <v>0</v>
      </c>
      <c r="I8" s="504" t="s">
        <v>96</v>
      </c>
      <c r="J8" s="505">
        <f>計算シート!V17</f>
        <v>0</v>
      </c>
      <c r="K8" s="504" t="s">
        <v>96</v>
      </c>
      <c r="L8" s="505">
        <f>計算シート!V18</f>
        <v>0</v>
      </c>
      <c r="M8" s="504" t="s">
        <v>96</v>
      </c>
      <c r="N8" s="505">
        <f>計算シート!V19</f>
        <v>0</v>
      </c>
      <c r="O8" s="504" t="s">
        <v>96</v>
      </c>
      <c r="P8" s="505">
        <f>計算シート!V20</f>
        <v>0</v>
      </c>
      <c r="Q8" s="504" t="s">
        <v>96</v>
      </c>
      <c r="R8" s="505">
        <f>計算シート!V21</f>
        <v>0</v>
      </c>
      <c r="S8" s="504" t="s">
        <v>96</v>
      </c>
      <c r="T8" s="505">
        <f>計算シート!V22</f>
        <v>0</v>
      </c>
      <c r="U8" s="504" t="s">
        <v>96</v>
      </c>
      <c r="V8" s="505">
        <f>計算シート!V23</f>
        <v>0</v>
      </c>
      <c r="W8" s="504" t="s">
        <v>96</v>
      </c>
      <c r="X8" s="505">
        <f>計算シート!V24</f>
        <v>0</v>
      </c>
      <c r="Y8" s="504" t="s">
        <v>96</v>
      </c>
      <c r="Z8" s="505">
        <f>計算シート!V25</f>
        <v>0</v>
      </c>
      <c r="AA8" s="504" t="s">
        <v>96</v>
      </c>
      <c r="AB8" s="505">
        <f>計算シート!V26</f>
        <v>0</v>
      </c>
      <c r="AC8" s="504" t="s">
        <v>96</v>
      </c>
      <c r="AD8" s="505">
        <f>計算シート!V27</f>
        <v>0</v>
      </c>
      <c r="AE8" s="506" t="s">
        <v>96</v>
      </c>
      <c r="AF8" s="495">
        <f>SUM(F8:AE8)</f>
        <v>0</v>
      </c>
    </row>
    <row r="9" spans="1:33" ht="21" customHeight="1" x14ac:dyDescent="0.2">
      <c r="E9" s="220" t="s">
        <v>101</v>
      </c>
      <c r="F9" s="221">
        <f>計算シート!W15</f>
        <v>12</v>
      </c>
      <c r="G9" s="222" t="s">
        <v>96</v>
      </c>
      <c r="H9" s="223">
        <f>計算シート!W16</f>
        <v>30</v>
      </c>
      <c r="I9" s="222" t="s">
        <v>96</v>
      </c>
      <c r="J9" s="223">
        <f>計算シート!W17</f>
        <v>30</v>
      </c>
      <c r="K9" s="222" t="s">
        <v>96</v>
      </c>
      <c r="L9" s="223">
        <f>計算シート!W18</f>
        <v>0</v>
      </c>
      <c r="M9" s="222" t="s">
        <v>96</v>
      </c>
      <c r="N9" s="223">
        <f>計算シート!W19</f>
        <v>0</v>
      </c>
      <c r="O9" s="222" t="s">
        <v>96</v>
      </c>
      <c r="P9" s="223">
        <f>計算シート!W20</f>
        <v>0</v>
      </c>
      <c r="Q9" s="222" t="s">
        <v>96</v>
      </c>
      <c r="R9" s="223">
        <f>計算シート!W21</f>
        <v>0</v>
      </c>
      <c r="S9" s="222" t="s">
        <v>96</v>
      </c>
      <c r="T9" s="223">
        <f>計算シート!W22</f>
        <v>0</v>
      </c>
      <c r="U9" s="222" t="s">
        <v>96</v>
      </c>
      <c r="V9" s="223">
        <f>計算シート!W23</f>
        <v>0</v>
      </c>
      <c r="W9" s="222" t="s">
        <v>96</v>
      </c>
      <c r="X9" s="223">
        <f>計算シート!W24</f>
        <v>0</v>
      </c>
      <c r="Y9" s="222" t="s">
        <v>96</v>
      </c>
      <c r="Z9" s="223">
        <f>計算シート!W25</f>
        <v>0</v>
      </c>
      <c r="AA9" s="222" t="s">
        <v>96</v>
      </c>
      <c r="AB9" s="223">
        <f>計算シート!W26</f>
        <v>0</v>
      </c>
      <c r="AC9" s="222" t="s">
        <v>96</v>
      </c>
      <c r="AD9" s="223">
        <f>計算シート!W27</f>
        <v>0</v>
      </c>
      <c r="AE9" s="224" t="s">
        <v>96</v>
      </c>
      <c r="AF9" s="225">
        <f>SUM(F9:AE9)</f>
        <v>72</v>
      </c>
    </row>
    <row r="10" spans="1:33" ht="21" customHeight="1" thickBot="1" x14ac:dyDescent="0.25">
      <c r="E10" s="226" t="s">
        <v>102</v>
      </c>
      <c r="F10" s="227">
        <f>計算シート!U15</f>
        <v>12</v>
      </c>
      <c r="G10" s="228" t="s">
        <v>96</v>
      </c>
      <c r="H10" s="229">
        <f>計算シート!U16</f>
        <v>30</v>
      </c>
      <c r="I10" s="228" t="s">
        <v>96</v>
      </c>
      <c r="J10" s="229">
        <f>計算シート!U17</f>
        <v>30</v>
      </c>
      <c r="K10" s="228" t="s">
        <v>96</v>
      </c>
      <c r="L10" s="229">
        <f>計算シート!U18</f>
        <v>0</v>
      </c>
      <c r="M10" s="228" t="s">
        <v>96</v>
      </c>
      <c r="N10" s="229">
        <f>計算シート!U19</f>
        <v>0</v>
      </c>
      <c r="O10" s="228" t="s">
        <v>96</v>
      </c>
      <c r="P10" s="229">
        <f>計算シート!U20</f>
        <v>0</v>
      </c>
      <c r="Q10" s="228" t="s">
        <v>96</v>
      </c>
      <c r="R10" s="229">
        <f>計算シート!U21</f>
        <v>0</v>
      </c>
      <c r="S10" s="228" t="s">
        <v>96</v>
      </c>
      <c r="T10" s="229">
        <f>計算シート!U22</f>
        <v>0</v>
      </c>
      <c r="U10" s="228" t="s">
        <v>96</v>
      </c>
      <c r="V10" s="229">
        <f>計算シート!U23</f>
        <v>0</v>
      </c>
      <c r="W10" s="228" t="s">
        <v>96</v>
      </c>
      <c r="X10" s="229">
        <f>計算シート!U24</f>
        <v>0</v>
      </c>
      <c r="Y10" s="228" t="s">
        <v>96</v>
      </c>
      <c r="Z10" s="229">
        <f>計算シート!U25</f>
        <v>0</v>
      </c>
      <c r="AA10" s="228" t="s">
        <v>96</v>
      </c>
      <c r="AB10" s="229">
        <f>計算シート!U26</f>
        <v>0</v>
      </c>
      <c r="AC10" s="228" t="s">
        <v>96</v>
      </c>
      <c r="AD10" s="229">
        <f>計算シート!U27</f>
        <v>0</v>
      </c>
      <c r="AE10" s="230" t="s">
        <v>96</v>
      </c>
      <c r="AF10" s="231">
        <f>SUM(F10:AE10)</f>
        <v>72</v>
      </c>
    </row>
    <row r="11" spans="1:33" ht="20.25" customHeight="1" thickBot="1" x14ac:dyDescent="0.25">
      <c r="A11" s="846" t="s">
        <v>103</v>
      </c>
      <c r="B11" s="847"/>
      <c r="C11" s="847"/>
      <c r="D11" s="848"/>
      <c r="E11" s="232" t="s">
        <v>98</v>
      </c>
      <c r="F11" s="233" t="s">
        <v>93</v>
      </c>
      <c r="G11" s="234" t="s">
        <v>104</v>
      </c>
      <c r="H11" s="235" t="s">
        <v>93</v>
      </c>
      <c r="I11" s="234" t="s">
        <v>104</v>
      </c>
      <c r="J11" s="235" t="s">
        <v>93</v>
      </c>
      <c r="K11" s="234" t="s">
        <v>104</v>
      </c>
      <c r="L11" s="235" t="s">
        <v>93</v>
      </c>
      <c r="M11" s="234" t="s">
        <v>104</v>
      </c>
      <c r="N11" s="235" t="s">
        <v>93</v>
      </c>
      <c r="O11" s="234" t="s">
        <v>104</v>
      </c>
      <c r="P11" s="236" t="s">
        <v>93</v>
      </c>
      <c r="Q11" s="234" t="s">
        <v>104</v>
      </c>
      <c r="R11" s="236" t="s">
        <v>93</v>
      </c>
      <c r="S11" s="234" t="s">
        <v>104</v>
      </c>
      <c r="T11" s="236" t="s">
        <v>93</v>
      </c>
      <c r="U11" s="234" t="s">
        <v>104</v>
      </c>
      <c r="V11" s="236" t="s">
        <v>93</v>
      </c>
      <c r="W11" s="234" t="s">
        <v>104</v>
      </c>
      <c r="X11" s="236" t="s">
        <v>93</v>
      </c>
      <c r="Y11" s="234" t="s">
        <v>104</v>
      </c>
      <c r="Z11" s="236" t="s">
        <v>93</v>
      </c>
      <c r="AA11" s="234" t="s">
        <v>104</v>
      </c>
      <c r="AB11" s="236" t="s">
        <v>93</v>
      </c>
      <c r="AC11" s="234" t="s">
        <v>104</v>
      </c>
      <c r="AD11" s="236" t="s">
        <v>93</v>
      </c>
      <c r="AE11" s="234" t="s">
        <v>104</v>
      </c>
      <c r="AF11" s="237" t="s">
        <v>105</v>
      </c>
    </row>
    <row r="12" spans="1:33" ht="22.5" customHeight="1" x14ac:dyDescent="0.2">
      <c r="A12" s="836" t="s">
        <v>245</v>
      </c>
      <c r="B12" s="470" t="s">
        <v>106</v>
      </c>
      <c r="C12" s="471"/>
      <c r="D12" s="472"/>
      <c r="E12" s="473"/>
      <c r="F12" s="474"/>
      <c r="G12" s="475"/>
      <c r="H12" s="476"/>
      <c r="I12" s="475"/>
      <c r="J12" s="476"/>
      <c r="K12" s="475"/>
      <c r="L12" s="476"/>
      <c r="M12" s="475"/>
      <c r="N12" s="476"/>
      <c r="O12" s="475"/>
      <c r="P12" s="476"/>
      <c r="Q12" s="475"/>
      <c r="R12" s="476"/>
      <c r="S12" s="475"/>
      <c r="T12" s="476"/>
      <c r="U12" s="475"/>
      <c r="V12" s="476"/>
      <c r="W12" s="475"/>
      <c r="X12" s="476"/>
      <c r="Y12" s="475"/>
      <c r="Z12" s="476"/>
      <c r="AA12" s="475"/>
      <c r="AB12" s="476"/>
      <c r="AC12" s="475"/>
      <c r="AD12" s="476"/>
      <c r="AE12" s="477"/>
      <c r="AF12" s="473"/>
    </row>
    <row r="13" spans="1:33" ht="30" customHeight="1" x14ac:dyDescent="0.2">
      <c r="A13" s="837"/>
      <c r="B13" s="478"/>
      <c r="C13" s="479" t="s">
        <v>107</v>
      </c>
      <c r="D13" s="480" t="s">
        <v>108</v>
      </c>
      <c r="E13" s="481">
        <f>コース不参加費用試算!$L$57</f>
        <v>0</v>
      </c>
      <c r="F13" s="482"/>
      <c r="G13" s="483"/>
      <c r="H13" s="484"/>
      <c r="I13" s="483"/>
      <c r="J13" s="484"/>
      <c r="K13" s="483"/>
      <c r="L13" s="484"/>
      <c r="M13" s="483"/>
      <c r="N13" s="484"/>
      <c r="O13" s="483"/>
      <c r="P13" s="484"/>
      <c r="Q13" s="483"/>
      <c r="R13" s="484"/>
      <c r="S13" s="483"/>
      <c r="T13" s="484"/>
      <c r="U13" s="483"/>
      <c r="V13" s="484"/>
      <c r="W13" s="483"/>
      <c r="X13" s="484"/>
      <c r="Y13" s="483"/>
      <c r="Z13" s="484"/>
      <c r="AA13" s="483"/>
      <c r="AB13" s="484"/>
      <c r="AC13" s="483"/>
      <c r="AD13" s="485"/>
      <c r="AE13" s="486"/>
      <c r="AF13" s="481">
        <f ca="1">SUMIF($F$11:AE13,"金額",F13:AE13)</f>
        <v>0</v>
      </c>
    </row>
    <row r="14" spans="1:33" ht="30" customHeight="1" x14ac:dyDescent="0.2">
      <c r="A14" s="837"/>
      <c r="B14" s="478"/>
      <c r="C14" s="487" t="s">
        <v>109</v>
      </c>
      <c r="D14" s="488" t="s">
        <v>110</v>
      </c>
      <c r="E14" s="489">
        <f>コース不参加費用試算!$L$58</f>
        <v>0</v>
      </c>
      <c r="F14" s="496"/>
      <c r="G14" s="497"/>
      <c r="H14" s="496"/>
      <c r="I14" s="497">
        <f>IF(H6="","",コース不参加費用試算!$J$58*H14)</f>
        <v>0</v>
      </c>
      <c r="J14" s="496">
        <f t="shared" ref="J14" si="0">IF(J6="","",J8-J13-J15)</f>
        <v>0</v>
      </c>
      <c r="K14" s="497">
        <f>IF(J6="","",コース不参加費用試算!$J$58*J14)</f>
        <v>0</v>
      </c>
      <c r="L14" s="496" t="str">
        <f t="shared" ref="L14" si="1">IF(L6="","",L8-L13-L15)</f>
        <v/>
      </c>
      <c r="M14" s="497" t="str">
        <f>IF(L6="","",コース不参加費用試算!$J$58*L14)</f>
        <v/>
      </c>
      <c r="N14" s="496" t="str">
        <f t="shared" ref="N14" si="2">IF(N6="","",N8-N13-N15)</f>
        <v/>
      </c>
      <c r="O14" s="497" t="str">
        <f>IF(N6="","",コース不参加費用試算!$J$58*N14)</f>
        <v/>
      </c>
      <c r="P14" s="496" t="str">
        <f t="shared" ref="P14" si="3">IF(P6="","",P8-P13-P15)</f>
        <v/>
      </c>
      <c r="Q14" s="497" t="str">
        <f>IF(P6="","",コース不参加費用試算!$J$58*P14)</f>
        <v/>
      </c>
      <c r="R14" s="496" t="str">
        <f t="shared" ref="R14" si="4">IF(R6="","",R8-R13-R15)</f>
        <v/>
      </c>
      <c r="S14" s="497" t="str">
        <f>IF(R6="","",コース不参加費用試算!$J$58*R14)</f>
        <v/>
      </c>
      <c r="T14" s="496" t="str">
        <f t="shared" ref="T14" si="5">IF(T6="","",T8-T13-T15)</f>
        <v/>
      </c>
      <c r="U14" s="497" t="str">
        <f>IF(T6="","",コース不参加費用試算!$J$58*T14)</f>
        <v/>
      </c>
      <c r="V14" s="496" t="str">
        <f t="shared" ref="V14" si="6">IF(V6="","",V8-V13-V15)</f>
        <v/>
      </c>
      <c r="W14" s="497" t="str">
        <f>IF(V6="","",コース不参加費用試算!$J$58*V14)</f>
        <v/>
      </c>
      <c r="X14" s="496" t="str">
        <f t="shared" ref="X14" si="7">IF(X6="","",X8-X13-X15)</f>
        <v/>
      </c>
      <c r="Y14" s="497" t="str">
        <f>IF(X6="","",コース不参加費用試算!$J$58*X14)</f>
        <v/>
      </c>
      <c r="Z14" s="496" t="str">
        <f t="shared" ref="Z14" si="8">IF(Z6="","",Z8-Z13-Z15)</f>
        <v/>
      </c>
      <c r="AA14" s="497" t="str">
        <f>IF(Z6="","",コース不参加費用試算!$J$58*Z14)</f>
        <v/>
      </c>
      <c r="AB14" s="496" t="str">
        <f t="shared" ref="AB14" si="9">IF(AB6="","",AB8-AB13-AB15)</f>
        <v/>
      </c>
      <c r="AC14" s="497" t="str">
        <f>IF(AB6="","",コース不参加費用試算!$J$58*AB14)</f>
        <v/>
      </c>
      <c r="AD14" s="496" t="str">
        <f t="shared" ref="AD14" si="10">IF(AD6="","",AD8-AD13-AD15)</f>
        <v/>
      </c>
      <c r="AE14" s="497" t="str">
        <f>IF(AD6="","",コース不参加費用試算!$J$58*AD14)</f>
        <v/>
      </c>
      <c r="AF14" s="489">
        <f ca="1">SUMIF($F$11:AE14,"金額",F14:AE14)</f>
        <v>0</v>
      </c>
    </row>
    <row r="15" spans="1:33" ht="22.5" customHeight="1" x14ac:dyDescent="0.2">
      <c r="A15" s="837"/>
      <c r="B15" s="470"/>
      <c r="C15" s="490" t="s">
        <v>67</v>
      </c>
      <c r="D15" s="491" t="s">
        <v>95</v>
      </c>
      <c r="E15" s="481">
        <f>コース不参加費用試算!$L$59</f>
        <v>0</v>
      </c>
      <c r="F15" s="498"/>
      <c r="G15" s="499"/>
      <c r="H15" s="500"/>
      <c r="I15" s="499" t="str">
        <f>IF(H15="","",(H15*コース不参加費用試算!$J$30))</f>
        <v/>
      </c>
      <c r="J15" s="500">
        <f>IF(J6=計算シート!$L$48,VLOOKUP(J6,【研修旅行】,2,0),IF(J6=計算シート!$L$49,VLOOKUP(J6,【研修旅行】,2,0),0))</f>
        <v>0</v>
      </c>
      <c r="K15" s="499">
        <f>IF(J15="","",(J15*コース不参加費用試算!$J$30))</f>
        <v>0</v>
      </c>
      <c r="L15" s="500" t="str">
        <f>IF(L6=計算シート!$L$48,VLOOKUP(L6,【研修旅行】,2,0),IF(L6=計算シート!$L$49,VLOOKUP(L6,【研修旅行】,2,0),0))</f>
        <v/>
      </c>
      <c r="M15" s="499" t="str">
        <f>IF(L15="","",(L15*コース不参加費用試算!$J$30))</f>
        <v/>
      </c>
      <c r="N15" s="500" t="str">
        <f>IF(N6=計算シート!$L$48,VLOOKUP(N6,【研修旅行】,2,0),IF(N6=計算シート!$L$49,VLOOKUP(N6,【研修旅行】,2,0),0))</f>
        <v/>
      </c>
      <c r="O15" s="499" t="str">
        <f>IF(N15="","",(N15*コース不参加費用試算!$J$30))</f>
        <v/>
      </c>
      <c r="P15" s="500" t="str">
        <f>IF(P6=計算シート!$L$48,VLOOKUP(P6,【研修旅行】,2,0),IF(P6=計算シート!$L$49,VLOOKUP(P6,【研修旅行】,2,0),0))</f>
        <v/>
      </c>
      <c r="Q15" s="499" t="str">
        <f>IF(P15="","",(P15*コース不参加費用試算!$J$30))</f>
        <v/>
      </c>
      <c r="R15" s="500" t="str">
        <f>IF(R6=計算シート!$L$48,VLOOKUP(R6,【研修旅行】,2,0),IF(R6=計算シート!$L$49,VLOOKUP(R6,【研修旅行】,2,0),0))</f>
        <v/>
      </c>
      <c r="S15" s="499" t="str">
        <f>IF(R15="","",(R15*コース不参加費用試算!$J$30))</f>
        <v/>
      </c>
      <c r="T15" s="500" t="str">
        <f>IF(T6=計算シート!$L$48,VLOOKUP(T6,【研修旅行】,2,0),IF(T6=計算シート!$L$49,VLOOKUP(T6,【研修旅行】,2,0),0))</f>
        <v/>
      </c>
      <c r="U15" s="499" t="str">
        <f>IF(T15="","",(T15*コース不参加費用試算!$J$30))</f>
        <v/>
      </c>
      <c r="V15" s="500" t="str">
        <f>IF(V6=計算シート!$L$48,VLOOKUP(V6,【研修旅行】,2,0),IF(V6=計算シート!$L$49,VLOOKUP(V6,【研修旅行】,2,0),0))</f>
        <v/>
      </c>
      <c r="W15" s="499" t="str">
        <f>IF(V15="","",(V15*コース不参加費用試算!$J$30))</f>
        <v/>
      </c>
      <c r="X15" s="500" t="str">
        <f>IF(X6=計算シート!$L$48,VLOOKUP(X6,【研修旅行】,2,0),IF(X6=計算シート!$L$49,VLOOKUP(X6,【研修旅行】,2,0),0))</f>
        <v/>
      </c>
      <c r="Y15" s="499" t="str">
        <f>IF(X15="","",(X15*コース不参加費用試算!$J$30))</f>
        <v/>
      </c>
      <c r="Z15" s="500" t="str">
        <f>IF(Z6=計算シート!$L$48,VLOOKUP(Z6,【研修旅行】,2,0),IF(Z6=計算シート!$L$49,VLOOKUP(Z6,【研修旅行】,2,0),0))</f>
        <v/>
      </c>
      <c r="AA15" s="499" t="str">
        <f>IF(Z15="","",(Z15*コース不参加費用試算!$J$30))</f>
        <v/>
      </c>
      <c r="AB15" s="500" t="str">
        <f>IF(AB6=計算シート!$L$48,VLOOKUP(AB6,【研修旅行】,2,0),IF(AB6=計算シート!$L$49,VLOOKUP(AB6,【研修旅行】,2,0),0))</f>
        <v/>
      </c>
      <c r="AC15" s="499" t="str">
        <f>IF(AB15="","",(AB15*コース不参加費用試算!$J$30))</f>
        <v/>
      </c>
      <c r="AD15" s="500" t="str">
        <f>IF(AD6=計算シート!$L$48,VLOOKUP(AD6,【研修旅行】,2,0),IF(AD6=計算シート!$L$49,VLOOKUP(AD6,【研修旅行】,2,0),0))</f>
        <v/>
      </c>
      <c r="AE15" s="499" t="str">
        <f>IF(AD15="","",(AD15*コース不参加費用試算!$J$30))</f>
        <v/>
      </c>
      <c r="AF15" s="481"/>
      <c r="AG15" s="241"/>
    </row>
    <row r="16" spans="1:33" ht="22.5" customHeight="1" x14ac:dyDescent="0.2">
      <c r="A16" s="837"/>
      <c r="B16" s="470"/>
      <c r="C16" s="492"/>
      <c r="D16" s="493" t="s">
        <v>111</v>
      </c>
      <c r="E16" s="489">
        <f>コース不参加費用試算!$L$60</f>
        <v>0</v>
      </c>
      <c r="F16" s="501"/>
      <c r="G16" s="497"/>
      <c r="H16" s="502"/>
      <c r="I16" s="497" t="str">
        <f>IF(H16="","",(H16*コース不参加費用試算!$J$31))</f>
        <v/>
      </c>
      <c r="J16" s="502">
        <f t="shared" ref="J16:AD16" si="11">J15</f>
        <v>0</v>
      </c>
      <c r="K16" s="497">
        <f>IF(J16="","",(J16*コース不参加費用試算!$J$31))</f>
        <v>0</v>
      </c>
      <c r="L16" s="502" t="str">
        <f t="shared" si="11"/>
        <v/>
      </c>
      <c r="M16" s="497" t="str">
        <f>IF(L16="","",(L16*コース不参加費用試算!$J$31))</f>
        <v/>
      </c>
      <c r="N16" s="502" t="str">
        <f t="shared" si="11"/>
        <v/>
      </c>
      <c r="O16" s="497" t="str">
        <f>IF(N16="","",(N16*コース不参加費用試算!$J$31))</f>
        <v/>
      </c>
      <c r="P16" s="502" t="str">
        <f t="shared" si="11"/>
        <v/>
      </c>
      <c r="Q16" s="497" t="str">
        <f>IF(P16="","",(P16*コース不参加費用試算!$J$31))</f>
        <v/>
      </c>
      <c r="R16" s="502" t="str">
        <f t="shared" si="11"/>
        <v/>
      </c>
      <c r="S16" s="497" t="str">
        <f>IF(R16="","",(R16*コース不参加費用試算!$J$31))</f>
        <v/>
      </c>
      <c r="T16" s="502" t="str">
        <f t="shared" si="11"/>
        <v/>
      </c>
      <c r="U16" s="497" t="str">
        <f>IF(T16="","",(T16*コース不参加費用試算!$J$31))</f>
        <v/>
      </c>
      <c r="V16" s="502" t="str">
        <f t="shared" si="11"/>
        <v/>
      </c>
      <c r="W16" s="497" t="str">
        <f>IF(V16="","",(V16*コース不参加費用試算!$J$31))</f>
        <v/>
      </c>
      <c r="X16" s="502" t="str">
        <f t="shared" si="11"/>
        <v/>
      </c>
      <c r="Y16" s="497" t="str">
        <f>IF(X16="","",(X16*コース不参加費用試算!$J$31))</f>
        <v/>
      </c>
      <c r="Z16" s="502" t="str">
        <f t="shared" si="11"/>
        <v/>
      </c>
      <c r="AA16" s="497" t="str">
        <f>IF(Z16="","",(Z16*コース不参加費用試算!$J$31))</f>
        <v/>
      </c>
      <c r="AB16" s="502" t="str">
        <f t="shared" si="11"/>
        <v/>
      </c>
      <c r="AC16" s="497" t="str">
        <f>IF(AB16="","",(AB16*コース不参加費用試算!$J$31))</f>
        <v/>
      </c>
      <c r="AD16" s="502" t="str">
        <f t="shared" si="11"/>
        <v/>
      </c>
      <c r="AE16" s="497" t="str">
        <f>IF(AD16="","",(AD16*コース不参加費用試算!$J$31))</f>
        <v/>
      </c>
      <c r="AF16" s="489">
        <f ca="1">SUMIF($F$11:AE16,"金額",F16:AE16)</f>
        <v>0</v>
      </c>
      <c r="AG16" s="241"/>
    </row>
    <row r="17" spans="1:33" ht="22.5" customHeight="1" x14ac:dyDescent="0.2">
      <c r="A17" s="837"/>
      <c r="B17" s="594" t="s">
        <v>259</v>
      </c>
      <c r="C17" s="592"/>
      <c r="D17" s="337"/>
      <c r="E17" s="593">
        <f>コース不参加費用試算!$L$61</f>
        <v>10930</v>
      </c>
      <c r="F17" s="604"/>
      <c r="G17" s="605" t="str">
        <f>IF(AND(F10&gt;0,SUM($F$10:G10)=$AF$10),コース不参加費用試算!$L$61,"")</f>
        <v/>
      </c>
      <c r="H17" s="606"/>
      <c r="I17" s="607" t="str">
        <f>IF(AND(H10&gt;0,SUM($F$10:I10)=$AF$10),コース不参加費用試算!$L$61,"")</f>
        <v/>
      </c>
      <c r="J17" s="606"/>
      <c r="K17" s="607">
        <f>IF(AND(J10&gt;0,SUM($F$10:K10)=$AF$10),コース不参加費用試算!$L$61,"")</f>
        <v>10930</v>
      </c>
      <c r="L17" s="606"/>
      <c r="M17" s="607" t="str">
        <f>IF(AND(L10&gt;0,SUM($F$10:M10)=$AF$10),コース不参加費用試算!$L$61,"")</f>
        <v/>
      </c>
      <c r="N17" s="606"/>
      <c r="O17" s="607" t="str">
        <f>IF(AND(N10&gt;0,SUM($F$10:O10)=$AF$10),コース不参加費用試算!$L$61,"")</f>
        <v/>
      </c>
      <c r="P17" s="606"/>
      <c r="Q17" s="607" t="str">
        <f>IF(AND(P10&gt;0,SUM($F$10:Q10)=$AF$10),コース不参加費用試算!$L$61,"")</f>
        <v/>
      </c>
      <c r="R17" s="606"/>
      <c r="S17" s="607" t="str">
        <f>IF(AND(R10&gt;0,SUM($F$10:S10)=$AF$10),コース不参加費用試算!$L$61,"")</f>
        <v/>
      </c>
      <c r="T17" s="606"/>
      <c r="U17" s="607" t="str">
        <f>IF(AND(T10&gt;0,SUM($F$10:U10)=$AF$10),コース不参加費用試算!$L$61,"")</f>
        <v/>
      </c>
      <c r="V17" s="606"/>
      <c r="W17" s="607" t="str">
        <f>IF(AND(V10&gt;0,SUM($F$10:W10)=$AF$10),コース不参加費用試算!$L$61,"")</f>
        <v/>
      </c>
      <c r="X17" s="606"/>
      <c r="Y17" s="607" t="str">
        <f>IF(AND(X10&gt;0,SUM($F$10:Y10)=$AF$10),コース不参加費用試算!$L$61,"")</f>
        <v/>
      </c>
      <c r="Z17" s="606"/>
      <c r="AA17" s="607" t="str">
        <f>IF(AND(Z10&gt;0,SUM($F$10:AA10)=$AF$10),コース不参加費用試算!$L$61,"")</f>
        <v/>
      </c>
      <c r="AB17" s="606"/>
      <c r="AC17" s="607" t="str">
        <f>IF(AND(AB10&gt;0,SUM($F$10:AC10)=$AF$10),コース不参加費用試算!$L$61,"")</f>
        <v/>
      </c>
      <c r="AD17" s="606"/>
      <c r="AE17" s="608" t="str">
        <f>IF(AND(AD10&gt;0,SUM($F$10:AE10)=$AF$10),コース不参加費用試算!$L$61,"")</f>
        <v/>
      </c>
      <c r="AF17" s="593">
        <f ca="1">SUMIF($F$11:AE17,"金額",F17:AE17)</f>
        <v>10930</v>
      </c>
      <c r="AG17" s="241"/>
    </row>
    <row r="18" spans="1:33" ht="30" customHeight="1" x14ac:dyDescent="0.2">
      <c r="A18" s="837"/>
      <c r="B18" s="242" t="s">
        <v>112</v>
      </c>
      <c r="C18" s="243"/>
      <c r="D18" s="244" t="str">
        <f>IF(【実地研修中の宿泊】=1,"宿舎費+食費
　(朝･夕食費)","宿舎費")</f>
        <v>宿舎費</v>
      </c>
      <c r="E18" s="245">
        <f>コース不参加費用試算!$L$62</f>
        <v>0</v>
      </c>
      <c r="F18" s="246">
        <f>IF(【実地研修中の宿泊】=1,F9,0)</f>
        <v>0</v>
      </c>
      <c r="G18" s="247">
        <f>IF(【実地研修中の宿泊】=1,コース不参加費用試算!$J$32*F18, 0)</f>
        <v>0</v>
      </c>
      <c r="H18" s="246">
        <f>IF(【実地研修中の宿泊】=1,H9,0)</f>
        <v>0</v>
      </c>
      <c r="I18" s="247">
        <f>IF(【実地研修中の宿泊】=1,コース不参加費用試算!$J$32*H18, 0)</f>
        <v>0</v>
      </c>
      <c r="J18" s="246">
        <f>IF(【実地研修中の宿泊】=1,J9,0)</f>
        <v>0</v>
      </c>
      <c r="K18" s="247">
        <f>IF(【実地研修中の宿泊】=1,コース不参加費用試算!$J$32*J18, 0)</f>
        <v>0</v>
      </c>
      <c r="L18" s="246">
        <f>IF(【実地研修中の宿泊】=1,L9,0)</f>
        <v>0</v>
      </c>
      <c r="M18" s="247">
        <f>IF(【実地研修中の宿泊】=1,コース不参加費用試算!$J$32*L18, 0)</f>
        <v>0</v>
      </c>
      <c r="N18" s="246">
        <f>IF(【実地研修中の宿泊】=1,N9,0)</f>
        <v>0</v>
      </c>
      <c r="O18" s="247">
        <f>IF(【実地研修中の宿泊】=1,コース不参加費用試算!$J$32*N18, 0)</f>
        <v>0</v>
      </c>
      <c r="P18" s="246">
        <f>IF(【実地研修中の宿泊】=1,P9,0)</f>
        <v>0</v>
      </c>
      <c r="Q18" s="247">
        <f>IF(【実地研修中の宿泊】=1,コース不参加費用試算!$J$32*P18, 0)</f>
        <v>0</v>
      </c>
      <c r="R18" s="246">
        <f>IF(【実地研修中の宿泊】=1,R9,0)</f>
        <v>0</v>
      </c>
      <c r="S18" s="247">
        <f>IF(【実地研修中の宿泊】=1,コース不参加費用試算!$J$32*R18, 0)</f>
        <v>0</v>
      </c>
      <c r="T18" s="246">
        <f>IF(【実地研修中の宿泊】=1,T9,0)</f>
        <v>0</v>
      </c>
      <c r="U18" s="247">
        <f>IF(【実地研修中の宿泊】=1,コース不参加費用試算!$J$32*T18, 0)</f>
        <v>0</v>
      </c>
      <c r="V18" s="246">
        <f>IF(【実地研修中の宿泊】=1,V9,0)</f>
        <v>0</v>
      </c>
      <c r="W18" s="247">
        <f>IF(【実地研修中の宿泊】=1,コース不参加費用試算!$J$32*V18, 0)</f>
        <v>0</v>
      </c>
      <c r="X18" s="246">
        <f>IF(【実地研修中の宿泊】=1,X9,0)</f>
        <v>0</v>
      </c>
      <c r="Y18" s="247">
        <f>IF(【実地研修中の宿泊】=1,コース不参加費用試算!$J$32*X18, 0)</f>
        <v>0</v>
      </c>
      <c r="Z18" s="246">
        <f>IF(【実地研修中の宿泊】=1,Z9,0)</f>
        <v>0</v>
      </c>
      <c r="AA18" s="247">
        <f>IF(【実地研修中の宿泊】=1,コース不参加費用試算!$J$32*Z18, 0)</f>
        <v>0</v>
      </c>
      <c r="AB18" s="246">
        <f>IF(【実地研修中の宿泊】=1,AB9,0)</f>
        <v>0</v>
      </c>
      <c r="AC18" s="247">
        <f>IF(【実地研修中の宿泊】=1,コース不参加費用試算!$J$32*AB18, 0)</f>
        <v>0</v>
      </c>
      <c r="AD18" s="246">
        <f>IF(【実地研修中の宿泊】=1,AD9,0)</f>
        <v>0</v>
      </c>
      <c r="AE18" s="248">
        <f>IF(【実地研修中の宿泊】=1,コース不参加費用試算!$J$32*AD18, 0)</f>
        <v>0</v>
      </c>
      <c r="AF18" s="249">
        <f ca="1">SUMIF($F$11:AE18,"金額",F18:AE18)</f>
        <v>0</v>
      </c>
    </row>
    <row r="19" spans="1:33" ht="22.5" customHeight="1" thickBot="1" x14ac:dyDescent="0.25">
      <c r="A19" s="838"/>
      <c r="B19" s="839" t="s">
        <v>89</v>
      </c>
      <c r="C19" s="840"/>
      <c r="D19" s="841"/>
      <c r="E19" s="250">
        <f>SUM(E13:E18)</f>
        <v>10930</v>
      </c>
      <c r="F19" s="251"/>
      <c r="G19" s="252">
        <f>SUM(G13:G18)</f>
        <v>0</v>
      </c>
      <c r="H19" s="253"/>
      <c r="I19" s="252">
        <f>SUM(I13:I18)</f>
        <v>0</v>
      </c>
      <c r="J19" s="253"/>
      <c r="K19" s="252">
        <f>SUM(K13:K18)</f>
        <v>10930</v>
      </c>
      <c r="L19" s="253"/>
      <c r="M19" s="252">
        <f>SUM(M13:M18)</f>
        <v>0</v>
      </c>
      <c r="N19" s="253"/>
      <c r="O19" s="252">
        <f>SUM(O13:O18)</f>
        <v>0</v>
      </c>
      <c r="P19" s="253"/>
      <c r="Q19" s="252">
        <f>SUM(Q13:Q18)</f>
        <v>0</v>
      </c>
      <c r="R19" s="253"/>
      <c r="S19" s="252">
        <f>SUM(S13:S18)</f>
        <v>0</v>
      </c>
      <c r="T19" s="253"/>
      <c r="U19" s="252">
        <f>SUM(U13:U18)</f>
        <v>0</v>
      </c>
      <c r="V19" s="253"/>
      <c r="W19" s="252">
        <f>SUM(W13:W18)</f>
        <v>0</v>
      </c>
      <c r="X19" s="253"/>
      <c r="Y19" s="252">
        <f>SUM(Y13:Y18)</f>
        <v>0</v>
      </c>
      <c r="Z19" s="253"/>
      <c r="AA19" s="252">
        <f>SUM(AA13:AA18)</f>
        <v>0</v>
      </c>
      <c r="AB19" s="253"/>
      <c r="AC19" s="252">
        <f>SUM(AC13:AC18)</f>
        <v>0</v>
      </c>
      <c r="AD19" s="254"/>
      <c r="AE19" s="255">
        <f>SUM(AE13:AE18)</f>
        <v>0</v>
      </c>
      <c r="AF19" s="256">
        <f ca="1">SUMIF($F$11:AE19,"金額",F19:AE19)</f>
        <v>10930</v>
      </c>
    </row>
    <row r="20" spans="1:33" ht="22.5" customHeight="1" x14ac:dyDescent="0.2">
      <c r="A20" s="789" t="s">
        <v>113</v>
      </c>
      <c r="B20" s="257" t="s">
        <v>94</v>
      </c>
      <c r="C20" s="258"/>
      <c r="D20" s="259" t="s">
        <v>114</v>
      </c>
      <c r="E20" s="260">
        <f>コース不参加費用試算!$L$26</f>
        <v>0</v>
      </c>
      <c r="F20" s="261"/>
      <c r="G20" s="262">
        <f>E20</f>
        <v>0</v>
      </c>
      <c r="H20" s="263"/>
      <c r="I20" s="262"/>
      <c r="J20" s="263"/>
      <c r="K20" s="262"/>
      <c r="L20" s="263"/>
      <c r="M20" s="262"/>
      <c r="N20" s="263"/>
      <c r="O20" s="262"/>
      <c r="P20" s="263"/>
      <c r="Q20" s="262"/>
      <c r="R20" s="263"/>
      <c r="S20" s="262"/>
      <c r="T20" s="263"/>
      <c r="U20" s="262"/>
      <c r="V20" s="263"/>
      <c r="W20" s="262"/>
      <c r="X20" s="263"/>
      <c r="Y20" s="262"/>
      <c r="Z20" s="263"/>
      <c r="AA20" s="262"/>
      <c r="AB20" s="263"/>
      <c r="AC20" s="262"/>
      <c r="AD20" s="263"/>
      <c r="AE20" s="262"/>
      <c r="AF20" s="264">
        <f ca="1">SUMIF($F$11:AE20,"金額",F20:AE20)</f>
        <v>0</v>
      </c>
    </row>
    <row r="21" spans="1:33" ht="22.5" customHeight="1" x14ac:dyDescent="0.2">
      <c r="A21" s="790"/>
      <c r="B21" s="791" t="s">
        <v>115</v>
      </c>
      <c r="C21" s="821" t="s">
        <v>112</v>
      </c>
      <c r="D21" s="240" t="s">
        <v>95</v>
      </c>
      <c r="E21" s="265">
        <f>IF(E18&gt;0,0,コース不参加費用試算!$L$32)</f>
        <v>113040</v>
      </c>
      <c r="F21" s="266">
        <f>IF(【実地研修中の宿泊】=1,0,F9)</f>
        <v>12</v>
      </c>
      <c r="G21" s="267">
        <f>IF(【実地研修中の宿泊】=1,0,IF(【実地研修中の宿泊】=2,コース不参加費用試算!$J$32*F21,コース不参加費用試算!$J$32*F21))</f>
        <v>18840</v>
      </c>
      <c r="H21" s="239">
        <f>IF(【実地研修中の宿泊】=1,0,H9)</f>
        <v>30</v>
      </c>
      <c r="I21" s="268">
        <f>IF(【実地研修中の宿泊】=1,0,IF(【実地研修中の宿泊】=2,コース不参加費用試算!$J$32*H21,コース不参加費用試算!$J$32*H21))</f>
        <v>47100</v>
      </c>
      <c r="J21" s="239">
        <f>IF(【実地研修中の宿泊】=1,0,J9)</f>
        <v>30</v>
      </c>
      <c r="K21" s="268">
        <f>IF(【実地研修中の宿泊】=1,0,IF(【実地研修中の宿泊】=2,コース不参加費用試算!$J$32*J21,コース不参加費用試算!$J$32*J21))</f>
        <v>47100</v>
      </c>
      <c r="L21" s="239">
        <f>IF(【実地研修中の宿泊】=1,0,L9)</f>
        <v>0</v>
      </c>
      <c r="M21" s="268">
        <f>IF(【実地研修中の宿泊】=1,0,IF(【実地研修中の宿泊】=2,コース不参加費用試算!$J$32*L21,コース不参加費用試算!$J$32*L21))</f>
        <v>0</v>
      </c>
      <c r="N21" s="239">
        <f>IF(【実地研修中の宿泊】=1,0,N9)</f>
        <v>0</v>
      </c>
      <c r="O21" s="268">
        <f>IF(【実地研修中の宿泊】=1,0,IF(【実地研修中の宿泊】=2,コース不参加費用試算!$J$32*N21,コース不参加費用試算!$J$32*N21))</f>
        <v>0</v>
      </c>
      <c r="P21" s="239">
        <f>IF(【実地研修中の宿泊】=1,0,P9)</f>
        <v>0</v>
      </c>
      <c r="Q21" s="268">
        <f>IF(【実地研修中の宿泊】=1,0,IF(【実地研修中の宿泊】=2,コース不参加費用試算!$J$32*P21,コース不参加費用試算!$J$32*P21))</f>
        <v>0</v>
      </c>
      <c r="R21" s="239">
        <f>IF(【実地研修中の宿泊】=1,0,R9)</f>
        <v>0</v>
      </c>
      <c r="S21" s="268">
        <f>IF(【実地研修中の宿泊】=1,0,IF(【実地研修中の宿泊】=2,コース不参加費用試算!$J$32*R21,コース不参加費用試算!$J$32*R21))</f>
        <v>0</v>
      </c>
      <c r="T21" s="239">
        <f>IF(【実地研修中の宿泊】=1,0,T9)</f>
        <v>0</v>
      </c>
      <c r="U21" s="268">
        <f>IF(【実地研修中の宿泊】=1,0,IF(【実地研修中の宿泊】=2,コース不参加費用試算!$J$32*T21,コース不参加費用試算!$J$32*T21))</f>
        <v>0</v>
      </c>
      <c r="V21" s="239">
        <f>IF(【実地研修中の宿泊】=1,0,V9)</f>
        <v>0</v>
      </c>
      <c r="W21" s="268">
        <f>IF(【実地研修中の宿泊】=1,0,IF(【実地研修中の宿泊】=2,コース不参加費用試算!$J$32*V21,コース不参加費用試算!$J$32*V21))</f>
        <v>0</v>
      </c>
      <c r="X21" s="239">
        <f>IF(【実地研修中の宿泊】=1,0,X9)</f>
        <v>0</v>
      </c>
      <c r="Y21" s="268">
        <f>IF(【実地研修中の宿泊】=1,0,IF(【実地研修中の宿泊】=2,コース不参加費用試算!$J$32*X21,コース不参加費用試算!$J$32*X21))</f>
        <v>0</v>
      </c>
      <c r="Z21" s="239">
        <f>IF(【実地研修中の宿泊】=1,0,Z9)</f>
        <v>0</v>
      </c>
      <c r="AA21" s="268">
        <f>IF(【実地研修中の宿泊】=1,0,IF(【実地研修中の宿泊】=2,コース不参加費用試算!$J$32*Z21,コース不参加費用試算!$J$32*Z21))</f>
        <v>0</v>
      </c>
      <c r="AB21" s="239">
        <f>IF(【実地研修中の宿泊】=1,0,AB9)</f>
        <v>0</v>
      </c>
      <c r="AC21" s="267">
        <f>IF(【実地研修中の宿泊】=1,0,IF(【実地研修中の宿泊】=2,コース不参加費用試算!$J$32*AB21,コース不参加費用試算!$J$32*AB21))</f>
        <v>0</v>
      </c>
      <c r="AD21" s="269">
        <f>IF(【実地研修中の宿泊】=1,0,AD9)</f>
        <v>0</v>
      </c>
      <c r="AE21" s="268">
        <f>IF(【実地研修中の宿泊】=1,0,IF(【実地研修中の宿泊】=2,コース不参加費用試算!$J$32*AD21,コース不参加費用試算!$J$32*AD21))</f>
        <v>0</v>
      </c>
      <c r="AF21" s="270">
        <f ca="1">SUMIF($F$11:AE21,"金額",F21:AE21)</f>
        <v>113040</v>
      </c>
    </row>
    <row r="22" spans="1:33" ht="22.5" customHeight="1" x14ac:dyDescent="0.2">
      <c r="A22" s="790"/>
      <c r="B22" s="792"/>
      <c r="C22" s="822"/>
      <c r="D22" s="525" t="s">
        <v>226</v>
      </c>
      <c r="E22" s="526">
        <f>コース不参加費用試算!$L$33</f>
        <v>2200</v>
      </c>
      <c r="F22" s="527">
        <v>1</v>
      </c>
      <c r="G22" s="512">
        <f>コース不参加費用試算!L33</f>
        <v>2200</v>
      </c>
      <c r="H22" s="513"/>
      <c r="I22" s="290"/>
      <c r="J22" s="513"/>
      <c r="K22" s="290"/>
      <c r="L22" s="513"/>
      <c r="M22" s="290"/>
      <c r="N22" s="513"/>
      <c r="O22" s="290"/>
      <c r="P22" s="513"/>
      <c r="Q22" s="290"/>
      <c r="R22" s="513"/>
      <c r="S22" s="290"/>
      <c r="T22" s="513"/>
      <c r="U22" s="290"/>
      <c r="V22" s="513"/>
      <c r="W22" s="290"/>
      <c r="X22" s="513"/>
      <c r="Y22" s="290"/>
      <c r="Z22" s="513"/>
      <c r="AA22" s="290"/>
      <c r="AB22" s="513"/>
      <c r="AC22" s="512"/>
      <c r="AD22" s="514"/>
      <c r="AE22" s="290"/>
      <c r="AF22" s="275">
        <f ca="1">SUMIF($F$11:AE22,"金額",F22:AE22)</f>
        <v>2200</v>
      </c>
    </row>
    <row r="23" spans="1:33" ht="22.5" customHeight="1" x14ac:dyDescent="0.2">
      <c r="A23" s="790"/>
      <c r="B23" s="792"/>
      <c r="C23" s="823"/>
      <c r="D23" s="528" t="s">
        <v>225</v>
      </c>
      <c r="E23" s="524">
        <f>コース不参加費用試算!$L$34</f>
        <v>227200</v>
      </c>
      <c r="F23" s="529">
        <f>F9-1</f>
        <v>11</v>
      </c>
      <c r="G23" s="271">
        <f>コース不参加費用試算!$J$34*F23</f>
        <v>35200</v>
      </c>
      <c r="H23" s="272">
        <f>H9</f>
        <v>30</v>
      </c>
      <c r="I23" s="273">
        <f>コース不参加費用試算!$J$34*H23</f>
        <v>96000</v>
      </c>
      <c r="J23" s="272">
        <f>J9</f>
        <v>30</v>
      </c>
      <c r="K23" s="273">
        <f>コース不参加費用試算!$J$34*J23</f>
        <v>96000</v>
      </c>
      <c r="L23" s="272">
        <f>L9</f>
        <v>0</v>
      </c>
      <c r="M23" s="273">
        <f>コース不参加費用試算!$J$34*L23</f>
        <v>0</v>
      </c>
      <c r="N23" s="272">
        <f>N9</f>
        <v>0</v>
      </c>
      <c r="O23" s="273">
        <f>コース不参加費用試算!$J$34*N23</f>
        <v>0</v>
      </c>
      <c r="P23" s="272">
        <f>P9</f>
        <v>0</v>
      </c>
      <c r="Q23" s="273">
        <f>コース不参加費用試算!$J$34*P23</f>
        <v>0</v>
      </c>
      <c r="R23" s="272">
        <f>R9</f>
        <v>0</v>
      </c>
      <c r="S23" s="273">
        <f>コース不参加費用試算!$J$34*R23</f>
        <v>0</v>
      </c>
      <c r="T23" s="272">
        <f>T9</f>
        <v>0</v>
      </c>
      <c r="U23" s="273">
        <f>コース不参加費用試算!$J$34*T23</f>
        <v>0</v>
      </c>
      <c r="V23" s="272">
        <f>V9</f>
        <v>0</v>
      </c>
      <c r="W23" s="273">
        <f>コース不参加費用試算!$J$34*V23</f>
        <v>0</v>
      </c>
      <c r="X23" s="272">
        <f>X9</f>
        <v>0</v>
      </c>
      <c r="Y23" s="273">
        <f>コース不参加費用試算!$J$34*X23</f>
        <v>0</v>
      </c>
      <c r="Z23" s="272">
        <f>Z9</f>
        <v>0</v>
      </c>
      <c r="AA23" s="273">
        <f>コース不参加費用試算!$J$34*Z23</f>
        <v>0</v>
      </c>
      <c r="AB23" s="272">
        <f>AB9</f>
        <v>0</v>
      </c>
      <c r="AC23" s="271">
        <f>コース不参加費用試算!$J$34*AB23</f>
        <v>0</v>
      </c>
      <c r="AD23" s="274">
        <f>AD9</f>
        <v>0</v>
      </c>
      <c r="AE23" s="273">
        <f>コース不参加費用試算!$J$34*AD23</f>
        <v>0</v>
      </c>
      <c r="AF23" s="275">
        <f ca="1">SUMIF($F$11:AE23,"金額",F23:AE23)</f>
        <v>227200</v>
      </c>
    </row>
    <row r="24" spans="1:33" ht="22.5" customHeight="1" x14ac:dyDescent="0.2">
      <c r="A24" s="790"/>
      <c r="B24" s="793"/>
      <c r="C24" s="276" t="s">
        <v>97</v>
      </c>
      <c r="D24" s="277"/>
      <c r="E24" s="278">
        <f>コース不参加費用試算!$L$35</f>
        <v>72000</v>
      </c>
      <c r="F24" s="279">
        <f>F10</f>
        <v>12</v>
      </c>
      <c r="G24" s="280">
        <f>コース不参加費用試算!$J$35*F24</f>
        <v>12000</v>
      </c>
      <c r="H24" s="281">
        <f>H10</f>
        <v>30</v>
      </c>
      <c r="I24" s="280">
        <f>コース不参加費用試算!$J$35*H24</f>
        <v>30000</v>
      </c>
      <c r="J24" s="281">
        <f>J10</f>
        <v>30</v>
      </c>
      <c r="K24" s="280">
        <f>コース不参加費用試算!$J$35*J24</f>
        <v>30000</v>
      </c>
      <c r="L24" s="281">
        <f>L10</f>
        <v>0</v>
      </c>
      <c r="M24" s="280">
        <f>コース不参加費用試算!$J$35*L24</f>
        <v>0</v>
      </c>
      <c r="N24" s="281">
        <f>N10</f>
        <v>0</v>
      </c>
      <c r="O24" s="280">
        <f>コース不参加費用試算!$J$35*N24</f>
        <v>0</v>
      </c>
      <c r="P24" s="281">
        <f>P10</f>
        <v>0</v>
      </c>
      <c r="Q24" s="280">
        <f>コース不参加費用試算!$J$35*P24</f>
        <v>0</v>
      </c>
      <c r="R24" s="281">
        <f>R10</f>
        <v>0</v>
      </c>
      <c r="S24" s="280">
        <f>コース不参加費用試算!$J$35*R24</f>
        <v>0</v>
      </c>
      <c r="T24" s="281">
        <f>T10</f>
        <v>0</v>
      </c>
      <c r="U24" s="280">
        <f>コース不参加費用試算!$J$35*T24</f>
        <v>0</v>
      </c>
      <c r="V24" s="281">
        <f>V10</f>
        <v>0</v>
      </c>
      <c r="W24" s="280">
        <f>コース不参加費用試算!$J$35*V24</f>
        <v>0</v>
      </c>
      <c r="X24" s="281">
        <f>X10</f>
        <v>0</v>
      </c>
      <c r="Y24" s="280">
        <f>コース不参加費用試算!$J$35*X24</f>
        <v>0</v>
      </c>
      <c r="Z24" s="281">
        <f>Z10</f>
        <v>0</v>
      </c>
      <c r="AA24" s="280">
        <f>コース不参加費用試算!$J$35*Z24</f>
        <v>0</v>
      </c>
      <c r="AB24" s="281">
        <f>AB10</f>
        <v>0</v>
      </c>
      <c r="AC24" s="280">
        <f>コース不参加費用試算!$J$35*AB24</f>
        <v>0</v>
      </c>
      <c r="AD24" s="281">
        <f>AD10</f>
        <v>0</v>
      </c>
      <c r="AE24" s="280">
        <f>コース不参加費用試算!$J$35*AD24</f>
        <v>0</v>
      </c>
      <c r="AF24" s="282">
        <f ca="1">SUMIF($F$11:AE24,"金額",F24:AE24)</f>
        <v>72000</v>
      </c>
    </row>
    <row r="25" spans="1:33" ht="22.5" customHeight="1" x14ac:dyDescent="0.2">
      <c r="A25" s="790"/>
      <c r="B25" s="283" t="str">
        <f>"実地研修費（@"&amp;TEXT(コース不参加費用試算!$J$37,"#,###")&amp;"×"&amp;計算シート!$C$13&amp;"日）"</f>
        <v>実地研修費（@5,190×72日）</v>
      </c>
      <c r="C25" s="284"/>
      <c r="D25" s="285"/>
      <c r="E25" s="278">
        <f>コース不参加費用試算!$L$37</f>
        <v>373680</v>
      </c>
      <c r="F25" s="279">
        <f>F9</f>
        <v>12</v>
      </c>
      <c r="G25" s="280">
        <f>コース不参加費用試算!$J$37*F25</f>
        <v>62280</v>
      </c>
      <c r="H25" s="281">
        <f>H9</f>
        <v>30</v>
      </c>
      <c r="I25" s="280">
        <f>コース不参加費用試算!$J$37*H25</f>
        <v>155700</v>
      </c>
      <c r="J25" s="281">
        <f>J9</f>
        <v>30</v>
      </c>
      <c r="K25" s="280">
        <f>コース不参加費用試算!$J$37*J25</f>
        <v>155700</v>
      </c>
      <c r="L25" s="281">
        <f>L9</f>
        <v>0</v>
      </c>
      <c r="M25" s="280">
        <f>コース不参加費用試算!$J$37*L25</f>
        <v>0</v>
      </c>
      <c r="N25" s="281">
        <f>N9</f>
        <v>0</v>
      </c>
      <c r="O25" s="280">
        <f>コース不参加費用試算!$J$37*N25</f>
        <v>0</v>
      </c>
      <c r="P25" s="281">
        <f>P9</f>
        <v>0</v>
      </c>
      <c r="Q25" s="280">
        <f>コース不参加費用試算!$J$37*P25</f>
        <v>0</v>
      </c>
      <c r="R25" s="281">
        <f>R9</f>
        <v>0</v>
      </c>
      <c r="S25" s="280">
        <f>コース不参加費用試算!$J$37*R25</f>
        <v>0</v>
      </c>
      <c r="T25" s="281">
        <f>T9</f>
        <v>0</v>
      </c>
      <c r="U25" s="280">
        <f>コース不参加費用試算!$J$37*T25</f>
        <v>0</v>
      </c>
      <c r="V25" s="281">
        <f>V9</f>
        <v>0</v>
      </c>
      <c r="W25" s="280">
        <f>コース不参加費用試算!$J$37*V25</f>
        <v>0</v>
      </c>
      <c r="X25" s="281">
        <f>X9</f>
        <v>0</v>
      </c>
      <c r="Y25" s="280">
        <f>コース不参加費用試算!$J$37*X25</f>
        <v>0</v>
      </c>
      <c r="Z25" s="281">
        <f>Z9</f>
        <v>0</v>
      </c>
      <c r="AA25" s="280">
        <f>コース不参加費用試算!$J$37*Z25</f>
        <v>0</v>
      </c>
      <c r="AB25" s="281">
        <f>AB9</f>
        <v>0</v>
      </c>
      <c r="AC25" s="280">
        <f>コース不参加費用試算!$J$37*AB25</f>
        <v>0</v>
      </c>
      <c r="AD25" s="281">
        <f>AD9</f>
        <v>0</v>
      </c>
      <c r="AE25" s="286">
        <f>コース不参加費用試算!$J$37*AD25</f>
        <v>0</v>
      </c>
      <c r="AF25" s="282">
        <f ca="1">SUMIF($F$11:AE25,"金額",F25:AE25)</f>
        <v>373680</v>
      </c>
    </row>
    <row r="26" spans="1:33" ht="22.5" customHeight="1" x14ac:dyDescent="0.2">
      <c r="A26" s="790"/>
      <c r="B26" s="553" t="s">
        <v>254</v>
      </c>
      <c r="C26" s="1"/>
      <c r="D26" s="277"/>
      <c r="E26" s="289">
        <f>コース不参加費用試算!$L$38</f>
        <v>0</v>
      </c>
      <c r="F26" s="554"/>
      <c r="G26" s="555">
        <f ca="1">SUMIF(【国内移動費】,F$6,計算シート!$M$5:$M$7)</f>
        <v>0</v>
      </c>
      <c r="H26" s="513"/>
      <c r="I26" s="555">
        <f ca="1">SUMIF(【国内移動費】,H$6,計算シート!$M$5:$M$7)</f>
        <v>0</v>
      </c>
      <c r="J26" s="513"/>
      <c r="K26" s="555">
        <f ca="1">SUMIF(【国内移動費】,J$6,計算シート!$M$5:$M$7)</f>
        <v>0</v>
      </c>
      <c r="L26" s="513"/>
      <c r="M26" s="555">
        <f ca="1">SUMIF(【国内移動費】,L$6,計算シート!$M$5:$M$7)</f>
        <v>0</v>
      </c>
      <c r="N26" s="513"/>
      <c r="O26" s="555">
        <f ca="1">SUMIF(【国内移動費】,N$6,計算シート!$M$5:$M$7)</f>
        <v>0</v>
      </c>
      <c r="P26" s="513"/>
      <c r="Q26" s="555">
        <f ca="1">SUMIF(【国内移動費】,P$6,計算シート!$M$5:$M$7)</f>
        <v>0</v>
      </c>
      <c r="R26" s="513"/>
      <c r="S26" s="555">
        <f ca="1">SUMIF(【国内移動費】,R$6,計算シート!$M$5:$M$7)</f>
        <v>0</v>
      </c>
      <c r="T26" s="513"/>
      <c r="U26" s="555">
        <f ca="1">SUMIF(【国内移動費】,T$6,計算シート!$M$5:$M$7)</f>
        <v>0</v>
      </c>
      <c r="V26" s="513"/>
      <c r="W26" s="555">
        <f ca="1">SUMIF(【国内移動費】,V$6,計算シート!$M$5:$M$7)</f>
        <v>0</v>
      </c>
      <c r="X26" s="513"/>
      <c r="Y26" s="555">
        <f ca="1">SUMIF(【国内移動費】,X$6,計算シート!$M$5:$M$7)</f>
        <v>0</v>
      </c>
      <c r="Z26" s="513"/>
      <c r="AA26" s="555">
        <f ca="1">SUMIF(【国内移動費】,Z$6,計算シート!$M$5:$M$7)</f>
        <v>0</v>
      </c>
      <c r="AB26" s="513"/>
      <c r="AC26" s="555">
        <f ca="1">SUMIF(【国内移動費】,AB$6,計算シート!$M$5:$M$7)</f>
        <v>0</v>
      </c>
      <c r="AD26" s="513"/>
      <c r="AE26" s="556">
        <f ca="1">SUMIF(【国内移動費】,AD$6,計算シート!$M$5:$M$7)</f>
        <v>0</v>
      </c>
      <c r="AF26" s="256">
        <f t="shared" ref="AF26" ca="1" si="12">SUM(F26:AE26)</f>
        <v>0</v>
      </c>
    </row>
    <row r="27" spans="1:33" ht="22.5" customHeight="1" thickBot="1" x14ac:dyDescent="0.25">
      <c r="A27" s="790"/>
      <c r="B27" s="824" t="s">
        <v>90</v>
      </c>
      <c r="C27" s="825"/>
      <c r="D27" s="826"/>
      <c r="E27" s="557">
        <f>SUM(E20:E26)</f>
        <v>788120</v>
      </c>
      <c r="F27" s="558"/>
      <c r="G27" s="559">
        <f ca="1">SUM(G20:G26)</f>
        <v>130520</v>
      </c>
      <c r="H27" s="560"/>
      <c r="I27" s="559">
        <f ca="1">SUM(I20:I26)</f>
        <v>328800</v>
      </c>
      <c r="J27" s="560"/>
      <c r="K27" s="559">
        <f ca="1">SUM(K20:K26)</f>
        <v>328800</v>
      </c>
      <c r="L27" s="560"/>
      <c r="M27" s="559">
        <f ca="1">SUM(M20:M26)</f>
        <v>0</v>
      </c>
      <c r="N27" s="560"/>
      <c r="O27" s="559">
        <f ca="1">SUM(O20:O26)</f>
        <v>0</v>
      </c>
      <c r="P27" s="560"/>
      <c r="Q27" s="559">
        <f ca="1">SUM(Q20:Q26)</f>
        <v>0</v>
      </c>
      <c r="R27" s="560"/>
      <c r="S27" s="559">
        <f ca="1">SUM(S20:S26)</f>
        <v>0</v>
      </c>
      <c r="T27" s="560"/>
      <c r="U27" s="559">
        <f ca="1">SUM(U20:U26)</f>
        <v>0</v>
      </c>
      <c r="V27" s="560"/>
      <c r="W27" s="559">
        <f ca="1">SUM(W20:W26)</f>
        <v>0</v>
      </c>
      <c r="X27" s="560"/>
      <c r="Y27" s="559">
        <f ca="1">SUM(Y20:Y26)</f>
        <v>0</v>
      </c>
      <c r="Z27" s="560"/>
      <c r="AA27" s="559">
        <f ca="1">SUM(AA20:AA26)</f>
        <v>0</v>
      </c>
      <c r="AB27" s="560"/>
      <c r="AC27" s="559">
        <f ca="1">SUM(AC20:AC26)</f>
        <v>0</v>
      </c>
      <c r="AD27" s="561"/>
      <c r="AE27" s="562">
        <f ca="1">SUM(AE20:AE26)</f>
        <v>0</v>
      </c>
      <c r="AF27" s="563">
        <f t="shared" ref="AF27:AF30" ca="1" si="13">SUM(F27:AE27)</f>
        <v>788120</v>
      </c>
    </row>
    <row r="28" spans="1:33" ht="22.5" customHeight="1" x14ac:dyDescent="0.2">
      <c r="A28" s="807" t="s">
        <v>287</v>
      </c>
      <c r="B28" s="311" t="s">
        <v>251</v>
      </c>
      <c r="C28" s="311"/>
      <c r="D28" s="564" t="str">
        <f>"(①+②)×("&amp;TEXT(VLOOKUP(【研修申込区分】,【研修申込区分別費用】,4,FALSE),"# ?/?")&amp;" )"</f>
        <v>(①+②)×(0     )</v>
      </c>
      <c r="E28" s="565">
        <f>コース不参加費用試算!$L$45</f>
        <v>0</v>
      </c>
      <c r="F28" s="261"/>
      <c r="G28" s="566">
        <f ca="1">ROUNDUP((G27+G19)*コース不参加費用試算!$P$25,0)</f>
        <v>0</v>
      </c>
      <c r="H28" s="261"/>
      <c r="I28" s="566">
        <f ca="1">ROUNDUP((I27+I19)*コース不参加費用試算!$P$25,0)</f>
        <v>0</v>
      </c>
      <c r="J28" s="261"/>
      <c r="K28" s="566">
        <f ca="1">ROUNDUP((K27+K19)*コース不参加費用試算!$P$25,0)</f>
        <v>0</v>
      </c>
      <c r="L28" s="261"/>
      <c r="M28" s="566">
        <f ca="1">ROUNDUP((M27+M19)*コース不参加費用試算!$P$25,0)</f>
        <v>0</v>
      </c>
      <c r="N28" s="261"/>
      <c r="O28" s="566">
        <f ca="1">ROUNDUP((O27+O19)*コース不参加費用試算!$P$25,0)</f>
        <v>0</v>
      </c>
      <c r="P28" s="261"/>
      <c r="Q28" s="566">
        <f ca="1">ROUNDUP((Q27+Q19)*コース不参加費用試算!$P$25,0)</f>
        <v>0</v>
      </c>
      <c r="R28" s="261"/>
      <c r="S28" s="566">
        <f ca="1">ROUNDUP((S27+S19)*コース不参加費用試算!$P$25,0)</f>
        <v>0</v>
      </c>
      <c r="T28" s="261"/>
      <c r="U28" s="566">
        <f ca="1">ROUNDUP((U27+U19)*コース不参加費用試算!$P$25,0)</f>
        <v>0</v>
      </c>
      <c r="V28" s="261"/>
      <c r="W28" s="566">
        <f ca="1">ROUNDUP((W27+W19)*コース不参加費用試算!$P$25,0)</f>
        <v>0</v>
      </c>
      <c r="X28" s="261"/>
      <c r="Y28" s="566">
        <f ca="1">ROUNDUP((Y27+Y19)*コース不参加費用試算!$P$25,0)</f>
        <v>0</v>
      </c>
      <c r="Z28" s="261"/>
      <c r="AA28" s="566">
        <f ca="1">ROUNDUP((AA27+AA19)*コース不参加費用試算!$P$25,0)</f>
        <v>0</v>
      </c>
      <c r="AB28" s="261"/>
      <c r="AC28" s="566">
        <f ca="1">ROUNDUP((AC27+AC19)*コース不参加費用試算!$P$25,0)</f>
        <v>0</v>
      </c>
      <c r="AD28" s="261"/>
      <c r="AE28" s="566">
        <f ca="1">ROUNDUP((AE27+AE19)*コース不参加費用試算!$P$25,0)</f>
        <v>0</v>
      </c>
      <c r="AF28" s="264">
        <f ca="1">SUM(F28:AE28)</f>
        <v>0</v>
      </c>
    </row>
    <row r="29" spans="1:33" ht="22.5" customHeight="1" x14ac:dyDescent="0.2">
      <c r="A29" s="808"/>
      <c r="B29" s="291" t="s">
        <v>247</v>
      </c>
      <c r="C29" s="292"/>
      <c r="D29" s="293"/>
      <c r="E29" s="294">
        <f>コース不参加費用試算!$L$46</f>
        <v>122000</v>
      </c>
      <c r="F29" s="295"/>
      <c r="G29" s="296">
        <f>E29</f>
        <v>122000</v>
      </c>
      <c r="H29" s="297"/>
      <c r="I29" s="296"/>
      <c r="J29" s="297"/>
      <c r="K29" s="296"/>
      <c r="L29" s="297"/>
      <c r="M29" s="296"/>
      <c r="N29" s="297"/>
      <c r="O29" s="296"/>
      <c r="P29" s="297"/>
      <c r="Q29" s="296"/>
      <c r="R29" s="297"/>
      <c r="S29" s="296"/>
      <c r="T29" s="297"/>
      <c r="U29" s="296"/>
      <c r="V29" s="297"/>
      <c r="W29" s="296"/>
      <c r="X29" s="297"/>
      <c r="Y29" s="296"/>
      <c r="Z29" s="297"/>
      <c r="AA29" s="296"/>
      <c r="AB29" s="297"/>
      <c r="AC29" s="296"/>
      <c r="AD29" s="297"/>
      <c r="AE29" s="298"/>
      <c r="AF29" s="299">
        <f t="shared" si="13"/>
        <v>122000</v>
      </c>
    </row>
    <row r="30" spans="1:33" ht="22.5" customHeight="1" thickBot="1" x14ac:dyDescent="0.25">
      <c r="A30" s="809"/>
      <c r="B30" s="810" t="s">
        <v>91</v>
      </c>
      <c r="C30" s="811"/>
      <c r="D30" s="812"/>
      <c r="E30" s="300">
        <f>SUM(E28:E29)</f>
        <v>122000</v>
      </c>
      <c r="F30" s="567"/>
      <c r="G30" s="568">
        <f ca="1">SUM(G28:G29)</f>
        <v>122000</v>
      </c>
      <c r="H30" s="569"/>
      <c r="I30" s="568">
        <f t="shared" ref="I30" ca="1" si="14">SUM(I28:I29)</f>
        <v>0</v>
      </c>
      <c r="J30" s="569"/>
      <c r="K30" s="568">
        <f t="shared" ref="K30" ca="1" si="15">SUM(K28:K29)</f>
        <v>0</v>
      </c>
      <c r="L30" s="569"/>
      <c r="M30" s="568">
        <f t="shared" ref="M30" ca="1" si="16">SUM(M28:M29)</f>
        <v>0</v>
      </c>
      <c r="N30" s="569"/>
      <c r="O30" s="568">
        <f t="shared" ref="O30" ca="1" si="17">SUM(O28:O29)</f>
        <v>0</v>
      </c>
      <c r="P30" s="569"/>
      <c r="Q30" s="568">
        <f t="shared" ref="Q30" ca="1" si="18">SUM(Q28:Q29)</f>
        <v>0</v>
      </c>
      <c r="R30" s="569"/>
      <c r="S30" s="568">
        <f t="shared" ref="S30" ca="1" si="19">SUM(S28:S29)</f>
        <v>0</v>
      </c>
      <c r="T30" s="569"/>
      <c r="U30" s="568">
        <f t="shared" ref="U30" ca="1" si="20">SUM(U28:U29)</f>
        <v>0</v>
      </c>
      <c r="V30" s="569"/>
      <c r="W30" s="568">
        <f t="shared" ref="W30" ca="1" si="21">SUM(W28:W29)</f>
        <v>0</v>
      </c>
      <c r="X30" s="569"/>
      <c r="Y30" s="568">
        <f t="shared" ref="Y30" ca="1" si="22">SUM(Y28:Y29)</f>
        <v>0</v>
      </c>
      <c r="Z30" s="569"/>
      <c r="AA30" s="568">
        <f t="shared" ref="AA30" ca="1" si="23">SUM(AA28:AA29)</f>
        <v>0</v>
      </c>
      <c r="AB30" s="569"/>
      <c r="AC30" s="568">
        <f t="shared" ref="AC30" ca="1" si="24">SUM(AC28:AC29)</f>
        <v>0</v>
      </c>
      <c r="AD30" s="569"/>
      <c r="AE30" s="570">
        <f t="shared" ref="AE30" ca="1" si="25">SUM(AE28:AE29)</f>
        <v>0</v>
      </c>
      <c r="AF30" s="301">
        <f t="shared" ca="1" si="13"/>
        <v>122000</v>
      </c>
    </row>
    <row r="31" spans="1:33" ht="27" customHeight="1" thickTop="1" thickBot="1" x14ac:dyDescent="0.25">
      <c r="A31" s="813" t="s">
        <v>257</v>
      </c>
      <c r="B31" s="814"/>
      <c r="C31" s="814"/>
      <c r="D31" s="815"/>
      <c r="E31" s="302">
        <f>E27-E30</f>
        <v>666120</v>
      </c>
      <c r="F31" s="816">
        <f ca="1">G27-G30</f>
        <v>8520</v>
      </c>
      <c r="G31" s="798"/>
      <c r="H31" s="798">
        <f t="shared" ref="H31" ca="1" si="26">I27-I30</f>
        <v>328800</v>
      </c>
      <c r="I31" s="798"/>
      <c r="J31" s="798">
        <f t="shared" ref="J31" ca="1" si="27">K27-K30</f>
        <v>328800</v>
      </c>
      <c r="K31" s="798"/>
      <c r="L31" s="798">
        <f t="shared" ref="L31" ca="1" si="28">M27-M30</f>
        <v>0</v>
      </c>
      <c r="M31" s="798"/>
      <c r="N31" s="798">
        <f t="shared" ref="N31" ca="1" si="29">O27-O30</f>
        <v>0</v>
      </c>
      <c r="O31" s="798"/>
      <c r="P31" s="798">
        <f t="shared" ref="P31" ca="1" si="30">Q27-Q30</f>
        <v>0</v>
      </c>
      <c r="Q31" s="798"/>
      <c r="R31" s="798">
        <f t="shared" ref="R31" ca="1" si="31">S27-S30</f>
        <v>0</v>
      </c>
      <c r="S31" s="798"/>
      <c r="T31" s="798">
        <f t="shared" ref="T31" ca="1" si="32">U27-U30</f>
        <v>0</v>
      </c>
      <c r="U31" s="798"/>
      <c r="V31" s="798">
        <f t="shared" ref="V31" ca="1" si="33">W27-W30</f>
        <v>0</v>
      </c>
      <c r="W31" s="798"/>
      <c r="X31" s="798">
        <f t="shared" ref="X31" ca="1" si="34">Y27-Y30</f>
        <v>0</v>
      </c>
      <c r="Y31" s="798"/>
      <c r="Z31" s="798">
        <f t="shared" ref="Z31" ca="1" si="35">AA27-AA30</f>
        <v>0</v>
      </c>
      <c r="AA31" s="798"/>
      <c r="AB31" s="798">
        <f t="shared" ref="AB31" ca="1" si="36">AC27-AC30</f>
        <v>0</v>
      </c>
      <c r="AC31" s="798"/>
      <c r="AD31" s="798">
        <f t="shared" ref="AD31" ca="1" si="37">AE27-AE30</f>
        <v>0</v>
      </c>
      <c r="AE31" s="799"/>
      <c r="AF31" s="288">
        <f ca="1">SUM(F31:AE31)</f>
        <v>666120</v>
      </c>
    </row>
    <row r="32" spans="1:33" ht="32.25" customHeight="1" thickTop="1" thickBot="1" x14ac:dyDescent="0.25">
      <c r="A32" s="800" t="s">
        <v>116</v>
      </c>
      <c r="B32" s="801"/>
      <c r="C32" s="801"/>
      <c r="D32" s="802"/>
      <c r="E32" s="303"/>
      <c r="F32" s="803">
        <f ca="1">IF(F31=0,"",F31)</f>
        <v>8520</v>
      </c>
      <c r="G32" s="804"/>
      <c r="H32" s="805">
        <f ca="1">IF(H31=0,"",H31+F32)</f>
        <v>337320</v>
      </c>
      <c r="I32" s="804"/>
      <c r="J32" s="805">
        <f t="shared" ref="J32" ca="1" si="38">IF(J31=0,"",J31+H32)</f>
        <v>666120</v>
      </c>
      <c r="K32" s="804"/>
      <c r="L32" s="805" t="str">
        <f t="shared" ref="L32" ca="1" si="39">IF(L31=0,"",L31+J32)</f>
        <v/>
      </c>
      <c r="M32" s="804"/>
      <c r="N32" s="805" t="str">
        <f t="shared" ref="N32" ca="1" si="40">IF(N31=0,"",N31+L32)</f>
        <v/>
      </c>
      <c r="O32" s="804"/>
      <c r="P32" s="805" t="str">
        <f t="shared" ref="P32" ca="1" si="41">IF(P31=0,"",P31+N32)</f>
        <v/>
      </c>
      <c r="Q32" s="804"/>
      <c r="R32" s="805" t="str">
        <f t="shared" ref="R32" ca="1" si="42">IF(R31=0,"",R31+P32)</f>
        <v/>
      </c>
      <c r="S32" s="804"/>
      <c r="T32" s="805" t="str">
        <f t="shared" ref="T32" ca="1" si="43">IF(T31=0,"",T31+R32)</f>
        <v/>
      </c>
      <c r="U32" s="804"/>
      <c r="V32" s="805" t="str">
        <f t="shared" ref="V32" ca="1" si="44">IF(V31=0,"",V31+T32)</f>
        <v/>
      </c>
      <c r="W32" s="804"/>
      <c r="X32" s="805" t="str">
        <f t="shared" ref="X32" ca="1" si="45">IF(X31=0,"",X31+V32)</f>
        <v/>
      </c>
      <c r="Y32" s="804"/>
      <c r="Z32" s="805" t="str">
        <f t="shared" ref="Z32" ca="1" si="46">IF(Z31=0,"",Z31+X32)</f>
        <v/>
      </c>
      <c r="AA32" s="804"/>
      <c r="AB32" s="805" t="str">
        <f t="shared" ref="AB32" ca="1" si="47">IF(AB31=0,"",AB31+Z32)</f>
        <v/>
      </c>
      <c r="AC32" s="804"/>
      <c r="AD32" s="805" t="str">
        <f t="shared" ref="AD32" ca="1" si="48">IF(AD31=0,"",AD31+AB32)</f>
        <v/>
      </c>
      <c r="AE32" s="806"/>
      <c r="AF32" s="1"/>
    </row>
    <row r="33" spans="1:32" ht="20.149999999999999" customHeight="1" thickTop="1" x14ac:dyDescent="0.2">
      <c r="A33" s="1" t="s">
        <v>246</v>
      </c>
      <c r="B33" s="30"/>
      <c r="C33" s="30"/>
      <c r="D33" s="30"/>
      <c r="E33" s="304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794"/>
      <c r="AE33" s="794"/>
      <c r="AF33" s="1"/>
    </row>
    <row r="34" spans="1:32" ht="13.5" customHeight="1" x14ac:dyDescent="0.2">
      <c r="E34" s="306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</row>
    <row r="35" spans="1:32" ht="13.5" customHeight="1" x14ac:dyDescent="0.2"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</row>
    <row r="36" spans="1:32" ht="13.5" customHeight="1" x14ac:dyDescent="0.2"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</row>
    <row r="37" spans="1:32" ht="13.5" customHeight="1" x14ac:dyDescent="0.2"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</row>
    <row r="38" spans="1:32" ht="13.5" customHeight="1" x14ac:dyDescent="0.2"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</row>
    <row r="39" spans="1:32" ht="20.149999999999999" customHeight="1" thickBot="1" x14ac:dyDescent="0.25">
      <c r="B39" s="138" t="s">
        <v>92</v>
      </c>
      <c r="C39" s="1"/>
      <c r="D39" s="1"/>
      <c r="E39" s="308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9"/>
      <c r="AE39" s="217"/>
      <c r="AF39" s="1"/>
    </row>
    <row r="40" spans="1:32" ht="20.25" customHeight="1" x14ac:dyDescent="0.2">
      <c r="B40" s="310"/>
      <c r="C40" s="311"/>
      <c r="D40" s="312"/>
      <c r="E40" s="313"/>
      <c r="F40" s="314" t="s">
        <v>112</v>
      </c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6"/>
      <c r="AC40" s="316"/>
      <c r="AD40" s="596"/>
      <c r="AE40" s="595"/>
      <c r="AF40" s="313"/>
    </row>
    <row r="41" spans="1:32" ht="20.25" customHeight="1" thickBot="1" x14ac:dyDescent="0.25">
      <c r="B41" s="317"/>
      <c r="C41" s="1"/>
      <c r="D41" s="318"/>
      <c r="E41" s="319" t="s">
        <v>98</v>
      </c>
      <c r="F41" s="320" t="str">
        <f>YEAR($G$41)&amp;"/"&amp;MONTH($G$41)</f>
        <v>2026/5</v>
      </c>
      <c r="G41" s="321">
        <f>IF(計算シート!$C$12=0,"",計算シート!$C$12)</f>
        <v>46162</v>
      </c>
      <c r="H41" s="795" t="str">
        <f>IF(OR(計算シート!$C$13=F46,計算シート!$C$12=0),"",IF(MONTH($G$41)=12,YEAR($G$41)+1&amp;"/"&amp;"1",YEAR($G$41)&amp;"/"&amp;MONTH($G$41)+1))</f>
        <v>2026/6</v>
      </c>
      <c r="I41" s="796"/>
      <c r="J41" s="795" t="str">
        <f ca="1">IF(OR(計算シート!$C$13=SUMIF($F$42:I$46,"日数/回",$F$46:I$46),計算シート!$C$12=0),"",IF(MID(H41,6,2)="12",LEFT(H41,4)+1&amp;"/"&amp;"1",LEFT(H41,4)&amp;"/"&amp;MID(H41,6,2)+1))</f>
        <v>2026/7</v>
      </c>
      <c r="K41" s="796"/>
      <c r="L41" s="795" t="str">
        <f ca="1">IF(OR(計算シート!$C$13=SUMIF($F$42:K$46,"日数/回",$F$46:K$46),計算シート!$C$12=0),"",IF(MID(J41,6,2)="12",LEFT(J41,4)+1&amp;"/"&amp;"1",LEFT(J41,4)&amp;"/"&amp;MID(J41,6,2)+1))</f>
        <v>2026/8</v>
      </c>
      <c r="M41" s="796"/>
      <c r="N41" s="795" t="str">
        <f ca="1">IF(OR(計算シート!$C$13=SUMIF($F$42:M$46,"日数/回",$F$46:M$46),計算シート!$C$12=0),"",IF(MID(L41,6,2)="12",LEFT(L41,4)+1&amp;"/"&amp;"1",LEFT(L41,4)&amp;"/"&amp;MID(L41,6,2)+1))</f>
        <v>2026/9</v>
      </c>
      <c r="O41" s="796"/>
      <c r="P41" s="795" t="str">
        <f ca="1">IF(OR(計算シート!$C$13=SUMIF($F$42:O$46,"日数/回",$F$46:O$46),計算シート!$C$12=0),"",IF(MID(N41,6,2)="12",LEFT(N41,4)+1&amp;"/"&amp;"1",LEFT(N41,4)&amp;"/"&amp;MID(N41,6,2)+1))</f>
        <v>2026/10</v>
      </c>
      <c r="Q41" s="796"/>
      <c r="R41" s="795" t="str">
        <f ca="1">IF(OR(計算シート!$C$13=SUMIF($F$42:Q$46,"日数/回",$F$46:Q$46),計算シート!$C$12=0),"",IF(MID(P41,6,2)="12",LEFT(P41,4)+1&amp;"/"&amp;"1",LEFT(P41,4)&amp;"/"&amp;MID(P41,6,2)+1))</f>
        <v>2026/11</v>
      </c>
      <c r="S41" s="796"/>
      <c r="T41" s="795" t="str">
        <f ca="1">IF(OR(計算シート!$C$13=SUMIF($F$42:S$46,"日数/回",$F$46:S$46),計算シート!$C$12=0),"",IF(MID(R41,6,2)="12",LEFT(R41,4)+1&amp;"/"&amp;"1",LEFT(R41,4)&amp;"/"&amp;MID(R41,6,2)+1))</f>
        <v>2026/12</v>
      </c>
      <c r="U41" s="796"/>
      <c r="V41" s="795" t="str">
        <f ca="1">IF(OR(計算シート!$C$13=SUMIF($F$42:U$46,"日数/回",$F$46:U$46),計算シート!$C$12=0),"",IF(MID(T41,6,2)="12",LEFT(T41,4)+1&amp;"/"&amp;"1",LEFT(T41,4)&amp;"/"&amp;MID(T41,6,2)+1))</f>
        <v>2027/1</v>
      </c>
      <c r="W41" s="796"/>
      <c r="X41" s="795" t="str">
        <f ca="1">IF(OR(計算シート!$C$13=SUMIF($F$42:W$46,"日数/回",$F$46:W$46),計算シート!$C$12=0),"",IF(MID(V41,6,2)="12",LEFT(V41,4)+1&amp;"/"&amp;"1",LEFT(V41,4)&amp;"/"&amp;MID(V41,6,2)+1))</f>
        <v>2027/2</v>
      </c>
      <c r="Y41" s="796"/>
      <c r="Z41" s="795" t="str">
        <f ca="1">IF(OR(計算シート!$C$13=SUMIF($F$42:Y$46,"日数/回",$F$46:Y$46),計算シート!$C$12=0),"",IF(MID(X41,6,2)="12",LEFT(X41,4)+1&amp;"/"&amp;"1",LEFT(X41,4)&amp;"/"&amp;MID(X41,6,2)+1))</f>
        <v>2027/3</v>
      </c>
      <c r="AA41" s="796"/>
      <c r="AB41" s="795" t="str">
        <f ca="1">IF(OR(計算シート!$C$13=SUMIF($F$42:AA$46,"日数/回",$F$46:AA$46),計算シート!$C$12=0),"",IF(MID(Z41,6,2)="12",LEFT(Z41,4)+1&amp;"/"&amp;"1",LEFT(Z41,4)&amp;"/"&amp;MID(Z41,6,2)+1))</f>
        <v>2027/4</v>
      </c>
      <c r="AC41" s="797"/>
      <c r="AD41" s="784" t="str">
        <f ca="1">IF(OR(計算シート!$C$13=SUMIF($F$42:AC$46,"日数/回",$F$46:AC$46),計算シート!$C$12=0),"",IF(MID(AB41,6,2)="12",LEFT(AB41,4)+1&amp;"/"&amp;"1",LEFT(AB41,4)&amp;"/"&amp;MID(AB41,6,2)+1))</f>
        <v>2027/5</v>
      </c>
      <c r="AE41" s="785"/>
      <c r="AF41" s="319" t="s">
        <v>105</v>
      </c>
    </row>
    <row r="42" spans="1:32" ht="20.25" customHeight="1" thickBot="1" x14ac:dyDescent="0.25">
      <c r="B42" s="322"/>
      <c r="C42" s="287"/>
      <c r="D42" s="81"/>
      <c r="E42" s="323"/>
      <c r="F42" s="235" t="s">
        <v>93</v>
      </c>
      <c r="G42" s="234" t="s">
        <v>104</v>
      </c>
      <c r="H42" s="235" t="s">
        <v>93</v>
      </c>
      <c r="I42" s="234" t="s">
        <v>104</v>
      </c>
      <c r="J42" s="235" t="s">
        <v>93</v>
      </c>
      <c r="K42" s="234" t="s">
        <v>104</v>
      </c>
      <c r="L42" s="235" t="s">
        <v>93</v>
      </c>
      <c r="M42" s="234" t="s">
        <v>104</v>
      </c>
      <c r="N42" s="236" t="s">
        <v>93</v>
      </c>
      <c r="O42" s="234" t="s">
        <v>104</v>
      </c>
      <c r="P42" s="236" t="s">
        <v>93</v>
      </c>
      <c r="Q42" s="234" t="s">
        <v>104</v>
      </c>
      <c r="R42" s="236" t="s">
        <v>93</v>
      </c>
      <c r="S42" s="234" t="s">
        <v>104</v>
      </c>
      <c r="T42" s="236" t="s">
        <v>93</v>
      </c>
      <c r="U42" s="234" t="s">
        <v>104</v>
      </c>
      <c r="V42" s="236" t="s">
        <v>93</v>
      </c>
      <c r="W42" s="234" t="s">
        <v>104</v>
      </c>
      <c r="X42" s="236" t="s">
        <v>93</v>
      </c>
      <c r="Y42" s="234" t="s">
        <v>104</v>
      </c>
      <c r="Z42" s="236" t="s">
        <v>93</v>
      </c>
      <c r="AA42" s="234" t="s">
        <v>104</v>
      </c>
      <c r="AB42" s="236" t="s">
        <v>93</v>
      </c>
      <c r="AC42" s="597" t="s">
        <v>104</v>
      </c>
      <c r="AD42" s="236" t="s">
        <v>93</v>
      </c>
      <c r="AE42" s="324" t="s">
        <v>104</v>
      </c>
      <c r="AF42" s="323"/>
    </row>
    <row r="43" spans="1:32" ht="21.75" customHeight="1" x14ac:dyDescent="0.2">
      <c r="B43" s="786" t="s">
        <v>302</v>
      </c>
      <c r="C43" s="787"/>
      <c r="D43" s="788"/>
      <c r="E43" s="327">
        <f>コース不参加費用試算!L26</f>
        <v>0</v>
      </c>
      <c r="F43" s="329"/>
      <c r="G43" s="328">
        <f>コース不参加費用試算!$L$26</f>
        <v>0</v>
      </c>
      <c r="H43" s="329"/>
      <c r="I43" s="328"/>
      <c r="J43" s="329"/>
      <c r="K43" s="328"/>
      <c r="L43" s="329"/>
      <c r="M43" s="328"/>
      <c r="N43" s="329"/>
      <c r="O43" s="328"/>
      <c r="P43" s="329"/>
      <c r="Q43" s="328"/>
      <c r="R43" s="329"/>
      <c r="S43" s="328"/>
      <c r="T43" s="329"/>
      <c r="U43" s="328"/>
      <c r="V43" s="329"/>
      <c r="W43" s="328"/>
      <c r="X43" s="329"/>
      <c r="Y43" s="328"/>
      <c r="Z43" s="329"/>
      <c r="AA43" s="328"/>
      <c r="AB43" s="329"/>
      <c r="AC43" s="598"/>
      <c r="AD43" s="329"/>
      <c r="AE43" s="330"/>
      <c r="AF43" s="327">
        <f>$E$43</f>
        <v>0</v>
      </c>
    </row>
    <row r="44" spans="1:32" ht="21.75" customHeight="1" x14ac:dyDescent="0.2">
      <c r="B44" s="781" t="s">
        <v>283</v>
      </c>
      <c r="C44" s="782"/>
      <c r="D44" s="783"/>
      <c r="E44" s="327">
        <f>コース不参加費用試算!$L$38</f>
        <v>0</v>
      </c>
      <c r="F44" s="329"/>
      <c r="G44" s="328">
        <f ca="1">SUMIF(計算シート!$L$5:$M$6,F$41,計算シート!$M$5:$M$6)</f>
        <v>0</v>
      </c>
      <c r="H44" s="329"/>
      <c r="I44" s="328">
        <f ca="1">SUMIF(計算シート!$L$5:$M$6,H$41,計算シート!$M$5:$M$6)</f>
        <v>0</v>
      </c>
      <c r="J44" s="329"/>
      <c r="K44" s="328">
        <f ca="1">SUMIF(計算シート!$L$5:$M$6,J$41,計算シート!$M$5:$M$6)</f>
        <v>0</v>
      </c>
      <c r="L44" s="329"/>
      <c r="M44" s="328">
        <f ca="1">SUMIF(計算シート!$L$5:$M$6,L$41,計算シート!$M$5:$M$6)</f>
        <v>0</v>
      </c>
      <c r="N44" s="329"/>
      <c r="O44" s="328">
        <f ca="1">SUMIF(計算シート!$L$5:$M$6,N$41,計算シート!$M$5:$M$6)</f>
        <v>0</v>
      </c>
      <c r="P44" s="329"/>
      <c r="Q44" s="328">
        <f ca="1">SUMIF(計算シート!$L$5:$M$6,P$41,計算シート!$M$5:$M$6)</f>
        <v>0</v>
      </c>
      <c r="R44" s="329"/>
      <c r="S44" s="328">
        <f ca="1">SUMIF(計算シート!$L$5:$M$6,R$41,計算シート!$M$5:$M$6)</f>
        <v>0</v>
      </c>
      <c r="T44" s="329"/>
      <c r="U44" s="328">
        <f ca="1">SUMIF(計算シート!$L$5:$M$6,T$41,計算シート!$M$5:$M$6)</f>
        <v>0</v>
      </c>
      <c r="V44" s="329"/>
      <c r="W44" s="328">
        <f ca="1">SUMIF(計算シート!$L$5:$M$6,V$41,計算シート!$M$5:$M$6)</f>
        <v>0</v>
      </c>
      <c r="X44" s="329"/>
      <c r="Y44" s="328">
        <f ca="1">SUMIF(計算シート!$L$5:$M$6,X$41,計算シート!$M$5:$M$6)</f>
        <v>0</v>
      </c>
      <c r="Z44" s="329"/>
      <c r="AA44" s="328">
        <f ca="1">SUMIF(計算シート!$L$5:$M$6,Z$41,計算シート!$M$5:$M$6)</f>
        <v>0</v>
      </c>
      <c r="AB44" s="329"/>
      <c r="AC44" s="598">
        <f ca="1">SUMIF(計算シート!$L$5:$M$6,AB$41,計算シート!$M$5:$M$6)</f>
        <v>0</v>
      </c>
      <c r="AD44" s="329"/>
      <c r="AE44" s="330">
        <f ca="1">SUMIF(計算シート!$L$5:$M$6,AD$41,計算シート!$M$5:$M$6)</f>
        <v>0</v>
      </c>
      <c r="AF44" s="327">
        <f ca="1">SUMIF($F$42:$AE44,"金額",$F44:$AE44)</f>
        <v>0</v>
      </c>
    </row>
    <row r="45" spans="1:32" ht="21.75" customHeight="1" thickBot="1" x14ac:dyDescent="0.25">
      <c r="B45" s="830" t="s">
        <v>117</v>
      </c>
      <c r="C45" s="831"/>
      <c r="D45" s="832"/>
      <c r="E45" s="331">
        <f>IF(【実地研修中の宿泊】=3,コース不参加費用試算!$L$32,0)</f>
        <v>0</v>
      </c>
      <c r="F45" s="333">
        <f>IF(F$41="",0,IF(【実地研修中の宿泊】=3,IF(計算シート!$C$12=0,0,VLOOKUP(F$41,【研修日数】,10,FALSE)),0))</f>
        <v>0</v>
      </c>
      <c r="G45" s="332">
        <f>コース不参加費用試算!$J$32*F45</f>
        <v>0</v>
      </c>
      <c r="H45" s="333">
        <f>IF(H$41="",0,IF(【実地研修中の宿泊】=3,IF(計算シート!$C$12=0,0,VLOOKUP(H$41,【研修日数】,10,FALSE)),0))</f>
        <v>0</v>
      </c>
      <c r="I45" s="332">
        <f>コース不参加費用試算!$J$32*H45</f>
        <v>0</v>
      </c>
      <c r="J45" s="333">
        <f ca="1">IF(J$41="",0,IF(【実地研修中の宿泊】=3,IF(計算シート!$C$12=0,0,VLOOKUP(J$41,【研修日数】,10,FALSE)),0))</f>
        <v>0</v>
      </c>
      <c r="K45" s="332">
        <f ca="1">コース不参加費用試算!$J$32*J45</f>
        <v>0</v>
      </c>
      <c r="L45" s="333">
        <f ca="1">IF(L$41="",0,IF(【実地研修中の宿泊】=3,IF(計算シート!$C$12=0,0,VLOOKUP(L$41,【研修日数】,10,FALSE)),0))</f>
        <v>0</v>
      </c>
      <c r="M45" s="332">
        <f ca="1">コース不参加費用試算!$J$32*L45</f>
        <v>0</v>
      </c>
      <c r="N45" s="333">
        <f ca="1">IF(N$41="",0,IF(【実地研修中の宿泊】=3,IF(計算シート!$C$12=0,0,VLOOKUP(N$41,【研修日数】,10,FALSE)),0))</f>
        <v>0</v>
      </c>
      <c r="O45" s="334">
        <f ca="1">コース不参加費用試算!$J$32*N45</f>
        <v>0</v>
      </c>
      <c r="P45" s="333">
        <f ca="1">IF(P$41="",0,IF(【実地研修中の宿泊】=3,IF(計算シート!$C$12=0,0,VLOOKUP(P$41,【研修日数】,10,FALSE)),0))</f>
        <v>0</v>
      </c>
      <c r="Q45" s="334">
        <f ca="1">コース不参加費用試算!$J$32*P45</f>
        <v>0</v>
      </c>
      <c r="R45" s="333">
        <f ca="1">IF(R$41="",0,IF(【実地研修中の宿泊】=3,IF(計算シート!$C$12=0,0,VLOOKUP(R$41,【研修日数】,10,FALSE)),0))</f>
        <v>0</v>
      </c>
      <c r="S45" s="334">
        <f ca="1">コース不参加費用試算!$J$32*R45</f>
        <v>0</v>
      </c>
      <c r="T45" s="333">
        <f ca="1">IF(T$41="",0,IF(【実地研修中の宿泊】=3,IF(計算シート!$C$12=0,0,VLOOKUP(T$41,【研修日数】,10,FALSE)),0))</f>
        <v>0</v>
      </c>
      <c r="U45" s="334">
        <f ca="1">コース不参加費用試算!$J$32*T45</f>
        <v>0</v>
      </c>
      <c r="V45" s="333">
        <f ca="1">IF(V$41="",0,IF(【実地研修中の宿泊】=3,IF(計算シート!$C$12=0,0,VLOOKUP(V$41,【研修日数】,10,FALSE)),0))</f>
        <v>0</v>
      </c>
      <c r="W45" s="334">
        <f ca="1">コース不参加費用試算!$J$32*V45</f>
        <v>0</v>
      </c>
      <c r="X45" s="333">
        <f ca="1">IF(X$41="",0,IF(【実地研修中の宿泊】=3,IF(計算シート!$C$12=0,0,VLOOKUP(X$41,【研修日数】,10,FALSE)),0))</f>
        <v>0</v>
      </c>
      <c r="Y45" s="334">
        <f ca="1">コース不参加費用試算!$J$32*X45</f>
        <v>0</v>
      </c>
      <c r="Z45" s="333">
        <f ca="1">IF(Z$41="",0,IF(【実地研修中の宿泊】=3,IF(計算シート!$C$12=0,0,VLOOKUP(Z$41,【研修日数】,10,FALSE)),0))</f>
        <v>0</v>
      </c>
      <c r="AA45" s="334">
        <f ca="1">コース不参加費用試算!$J$32*Z45</f>
        <v>0</v>
      </c>
      <c r="AB45" s="333">
        <f ca="1">IF(AB$41="",0,IF(【実地研修中の宿泊】=3,IF(計算シート!$C$12=0,0,VLOOKUP(AB$41,【研修日数】,10,FALSE)),0))</f>
        <v>0</v>
      </c>
      <c r="AC45" s="599">
        <f ca="1">コース不参加費用試算!$J$32*AB45</f>
        <v>0</v>
      </c>
      <c r="AD45" s="333">
        <f ca="1">IF(AD$41="",0,IF(【実地研修中の宿泊】=3,IF(計算シート!$C$12=0,0,VLOOKUP(AD$41,【研修日数】,10,FALSE)),0))</f>
        <v>0</v>
      </c>
      <c r="AE45" s="335">
        <f ca="1">コース不参加費用試算!$J$32*AD45</f>
        <v>0</v>
      </c>
      <c r="AF45" s="331">
        <f ca="1">SUMIF($F$42:$AE45,"金額",$F45:$AE45)</f>
        <v>0</v>
      </c>
    </row>
    <row r="46" spans="1:32" ht="21.75" customHeight="1" thickTop="1" x14ac:dyDescent="0.2">
      <c r="B46" s="336" t="str">
        <f>"実地研修中食費（@"&amp;TEXT(コース不参加費用試算!$J$33,"#,###")&amp;"×"&amp;コース不参加費用試算!$K$33&amp;"日）"</f>
        <v>実地研修中食費（@2,200×1日）</v>
      </c>
      <c r="C46" s="238"/>
      <c r="D46" s="337"/>
      <c r="E46" s="338">
        <f>コース不参加費用試算!$L$33</f>
        <v>2200</v>
      </c>
      <c r="F46" s="340">
        <v>1</v>
      </c>
      <c r="G46" s="339">
        <f>コース不参加費用試算!$J$33*F46</f>
        <v>2200</v>
      </c>
      <c r="H46" s="340"/>
      <c r="I46" s="339"/>
      <c r="J46" s="340"/>
      <c r="K46" s="339"/>
      <c r="L46" s="340"/>
      <c r="M46" s="339"/>
      <c r="N46" s="340"/>
      <c r="O46" s="341"/>
      <c r="P46" s="340"/>
      <c r="Q46" s="341"/>
      <c r="R46" s="340"/>
      <c r="S46" s="341"/>
      <c r="T46" s="340"/>
      <c r="U46" s="341"/>
      <c r="V46" s="340"/>
      <c r="W46" s="341"/>
      <c r="X46" s="340"/>
      <c r="Y46" s="341"/>
      <c r="Z46" s="340"/>
      <c r="AA46" s="341"/>
      <c r="AB46" s="340"/>
      <c r="AC46" s="600"/>
      <c r="AD46" s="340"/>
      <c r="AE46" s="342"/>
      <c r="AF46" s="338">
        <f ca="1">SUMIF($F$42:$AE46,"金額",$F46:$AE46)</f>
        <v>2200</v>
      </c>
    </row>
    <row r="47" spans="1:32" ht="21.75" customHeight="1" x14ac:dyDescent="0.2">
      <c r="B47" s="336" t="str">
        <f>"実地研修中食費（@"&amp;TEXT(コース不参加費用試算!$J$34,"#,###")&amp;"×"&amp;コース不参加費用試算!$K$34&amp;"日）"</f>
        <v>実地研修中食費（@3,200×71日）</v>
      </c>
      <c r="C47" s="238"/>
      <c r="D47" s="337"/>
      <c r="E47" s="338">
        <f>コース不参加費用試算!$L$34</f>
        <v>227200</v>
      </c>
      <c r="F47" s="340">
        <f>IF(F$41="",0,VLOOKUP(F$41,【研修日数】,10,FALSE))-1</f>
        <v>11</v>
      </c>
      <c r="G47" s="339">
        <f>コース不参加費用試算!$J$34*F47</f>
        <v>35200</v>
      </c>
      <c r="H47" s="340">
        <f>IF(H$41="",0,VLOOKUP(H$41,【研修日数】,10,FALSE))</f>
        <v>30</v>
      </c>
      <c r="I47" s="339">
        <f>コース不参加費用試算!$J$34*H47</f>
        <v>96000</v>
      </c>
      <c r="J47" s="340">
        <f ca="1">IF(J$41="",0,VLOOKUP(J$41,【研修日数】,10,FALSE))</f>
        <v>30</v>
      </c>
      <c r="K47" s="339">
        <f ca="1">コース不参加費用試算!$J$34*J47</f>
        <v>96000</v>
      </c>
      <c r="L47" s="340">
        <f ca="1">IF(L$41="",0,VLOOKUP(L$41,【研修日数】,10,FALSE))</f>
        <v>0</v>
      </c>
      <c r="M47" s="339">
        <f ca="1">コース不参加費用試算!$J$34*L47</f>
        <v>0</v>
      </c>
      <c r="N47" s="340">
        <f ca="1">IF(N$41="",0,VLOOKUP(N$41,【研修日数】,10,FALSE))</f>
        <v>0</v>
      </c>
      <c r="O47" s="341">
        <f ca="1">コース不参加費用試算!$J$34*N47</f>
        <v>0</v>
      </c>
      <c r="P47" s="340">
        <f ca="1">IF(P$41="",0,VLOOKUP(P$41,【研修日数】,10,FALSE))</f>
        <v>0</v>
      </c>
      <c r="Q47" s="341">
        <f ca="1">コース不参加費用試算!$J$34*P47</f>
        <v>0</v>
      </c>
      <c r="R47" s="340">
        <f ca="1">IF(R$41="",0,VLOOKUP(R$41,【研修日数】,10,FALSE))</f>
        <v>0</v>
      </c>
      <c r="S47" s="341">
        <f ca="1">コース不参加費用試算!$J$34*R47</f>
        <v>0</v>
      </c>
      <c r="T47" s="340">
        <f ca="1">IF(T$41="",0,VLOOKUP(T$41,【研修日数】,10,FALSE))</f>
        <v>0</v>
      </c>
      <c r="U47" s="341">
        <f ca="1">コース不参加費用試算!$J$34*T47</f>
        <v>0</v>
      </c>
      <c r="V47" s="340">
        <f ca="1">IF(V$41="",0,VLOOKUP(V$41,【研修日数】,10,FALSE))</f>
        <v>0</v>
      </c>
      <c r="W47" s="341">
        <f ca="1">コース不参加費用試算!$J$34*V47</f>
        <v>0</v>
      </c>
      <c r="X47" s="340">
        <f ca="1">IF(X$41="",0,VLOOKUP(X$41,【研修日数】,10,FALSE))</f>
        <v>0</v>
      </c>
      <c r="Y47" s="341">
        <f ca="1">コース不参加費用試算!$J$34*X47</f>
        <v>0</v>
      </c>
      <c r="Z47" s="340">
        <f ca="1">IF(Z$41="",0,VLOOKUP(Z$41,【研修日数】,10,FALSE))</f>
        <v>0</v>
      </c>
      <c r="AA47" s="341">
        <f ca="1">コース不参加費用試算!$J$34*Z47</f>
        <v>0</v>
      </c>
      <c r="AB47" s="340">
        <f ca="1">IF(AB$41="",0,VLOOKUP(AB$41,【研修日数】,10,FALSE))</f>
        <v>0</v>
      </c>
      <c r="AC47" s="600">
        <f ca="1">コース不参加費用試算!$J$34*AB47</f>
        <v>0</v>
      </c>
      <c r="AD47" s="340">
        <f ca="1">IF(AD$41="",0,VLOOKUP(AD$41,【研修日数】,10,FALSE))</f>
        <v>0</v>
      </c>
      <c r="AE47" s="342">
        <f ca="1">コース不参加費用試算!$J$34*AD47</f>
        <v>0</v>
      </c>
      <c r="AF47" s="338">
        <f ca="1">SUMIF($F$42:$AE47,"金額",$F47:$AE47)</f>
        <v>227200</v>
      </c>
    </row>
    <row r="48" spans="1:32" ht="21.75" customHeight="1" thickBot="1" x14ac:dyDescent="0.25">
      <c r="B48" s="325" t="str">
        <f>"雑費（@"&amp;TEXT(コース不参加費用試算!$J$35,"#,###")&amp;"×"&amp;計算シート!$C$6&amp;"日）"</f>
        <v>雑費（@1,000×72日）</v>
      </c>
      <c r="C48" s="292"/>
      <c r="D48" s="326"/>
      <c r="E48" s="343">
        <f>コース不参加費用試算!$L$35</f>
        <v>72000</v>
      </c>
      <c r="F48" s="345">
        <f>IF(F$41="",0,VLOOKUP(F$41,【研修日数】,10,FALSE))</f>
        <v>12</v>
      </c>
      <c r="G48" s="344">
        <f>コース不参加費用試算!$J$35*F48</f>
        <v>12000</v>
      </c>
      <c r="H48" s="345">
        <f>IF(H$41="",0,VLOOKUP(H$41,【研修日数】,10,FALSE))</f>
        <v>30</v>
      </c>
      <c r="I48" s="344">
        <f>コース不参加費用試算!$J$35*H48</f>
        <v>30000</v>
      </c>
      <c r="J48" s="345">
        <f ca="1">IF(J$41="",0,VLOOKUP(J$41,【研修日数】,10,FALSE))</f>
        <v>30</v>
      </c>
      <c r="K48" s="344">
        <f ca="1">コース不参加費用試算!$J$35*J48</f>
        <v>30000</v>
      </c>
      <c r="L48" s="345">
        <f ca="1">IF(L$41="",0,VLOOKUP(L$41,【研修日数】,10,FALSE))</f>
        <v>0</v>
      </c>
      <c r="M48" s="344">
        <f ca="1">コース不参加費用試算!$J$35*L48</f>
        <v>0</v>
      </c>
      <c r="N48" s="345">
        <f ca="1">IF(N$41="",0,VLOOKUP(N$41,【研修日数】,10,FALSE))</f>
        <v>0</v>
      </c>
      <c r="O48" s="344">
        <f ca="1">コース不参加費用試算!$J$35*N48</f>
        <v>0</v>
      </c>
      <c r="P48" s="345">
        <f ca="1">IF(P$41="",0,VLOOKUP(P$41,【研修日数】,10,FALSE))</f>
        <v>0</v>
      </c>
      <c r="Q48" s="344">
        <f ca="1">コース不参加費用試算!$J$35*P48</f>
        <v>0</v>
      </c>
      <c r="R48" s="345">
        <f ca="1">IF(R$41="",0,VLOOKUP(R$41,【研修日数】,10,FALSE))</f>
        <v>0</v>
      </c>
      <c r="S48" s="344">
        <f ca="1">コース不参加費用試算!$J$35*R48</f>
        <v>0</v>
      </c>
      <c r="T48" s="345">
        <f ca="1">IF(T$41="",0,VLOOKUP(T$41,【研修日数】,10,FALSE))</f>
        <v>0</v>
      </c>
      <c r="U48" s="344">
        <f ca="1">コース不参加費用試算!$J$35*T48</f>
        <v>0</v>
      </c>
      <c r="V48" s="345">
        <f ca="1">IF(V$41="",0,VLOOKUP(V$41,【研修日数】,10,FALSE))</f>
        <v>0</v>
      </c>
      <c r="W48" s="344">
        <f ca="1">コース不参加費用試算!$J$35*V48</f>
        <v>0</v>
      </c>
      <c r="X48" s="345">
        <f ca="1">IF(X$41="",0,VLOOKUP(X$41,【研修日数】,10,FALSE))</f>
        <v>0</v>
      </c>
      <c r="Y48" s="344">
        <f ca="1">コース不参加費用試算!$J$35*X48</f>
        <v>0</v>
      </c>
      <c r="Z48" s="345">
        <f ca="1">IF(Z$41="",0,VLOOKUP(Z$41,【研修日数】,10,FALSE))</f>
        <v>0</v>
      </c>
      <c r="AA48" s="344">
        <f ca="1">コース不参加費用試算!$J$35*Z48</f>
        <v>0</v>
      </c>
      <c r="AB48" s="345">
        <f ca="1">IF(AB$41="",0,VLOOKUP(AB$41,【研修日数】,10,FALSE))</f>
        <v>0</v>
      </c>
      <c r="AC48" s="601">
        <f ca="1">コース不参加費用試算!$J$35*AB48</f>
        <v>0</v>
      </c>
      <c r="AD48" s="345">
        <f ca="1">IF(AD$41="",0,VLOOKUP(AD$41,【研修日数】,10,FALSE))</f>
        <v>0</v>
      </c>
      <c r="AE48" s="346">
        <f ca="1">コース不参加費用試算!$J$35*AD48</f>
        <v>0</v>
      </c>
      <c r="AF48" s="343">
        <f ca="1">SUMIF($F$42:$AE48,"金額",$F48:$AE48)</f>
        <v>72000</v>
      </c>
    </row>
    <row r="49" spans="2:32" ht="30" customHeight="1" thickBot="1" x14ac:dyDescent="0.25">
      <c r="B49" s="827" t="s">
        <v>98</v>
      </c>
      <c r="C49" s="828"/>
      <c r="D49" s="829"/>
      <c r="E49" s="347">
        <f>SUM(E43:E48)</f>
        <v>301400</v>
      </c>
      <c r="F49" s="348"/>
      <c r="G49" s="349">
        <f ca="1">SUM(G43:G48)</f>
        <v>49400</v>
      </c>
      <c r="H49" s="348"/>
      <c r="I49" s="349">
        <f ca="1">SUM(I43:I48)</f>
        <v>126000</v>
      </c>
      <c r="J49" s="348"/>
      <c r="K49" s="349">
        <f ca="1">SUM(K43:K48)</f>
        <v>126000</v>
      </c>
      <c r="L49" s="348"/>
      <c r="M49" s="349">
        <f ca="1">SUM(M43:M48)</f>
        <v>0</v>
      </c>
      <c r="N49" s="348"/>
      <c r="O49" s="349">
        <f ca="1">SUM(O43:O48)</f>
        <v>0</v>
      </c>
      <c r="P49" s="348"/>
      <c r="Q49" s="349">
        <f ca="1">SUM(Q43:Q48)</f>
        <v>0</v>
      </c>
      <c r="R49" s="348"/>
      <c r="S49" s="349">
        <f ca="1">SUM(S43:S48)</f>
        <v>0</v>
      </c>
      <c r="T49" s="348"/>
      <c r="U49" s="349">
        <f ca="1">SUM(U43:U48)</f>
        <v>0</v>
      </c>
      <c r="V49" s="348"/>
      <c r="W49" s="349">
        <f ca="1">SUM(W43:W48)</f>
        <v>0</v>
      </c>
      <c r="X49" s="348"/>
      <c r="Y49" s="349">
        <f ca="1">SUM(Y43:Y48)</f>
        <v>0</v>
      </c>
      <c r="Z49" s="348"/>
      <c r="AA49" s="349">
        <f ca="1">SUM(AA43:AA48)</f>
        <v>0</v>
      </c>
      <c r="AB49" s="348"/>
      <c r="AC49" s="602">
        <f ca="1">SUM(AC43:AC48)</f>
        <v>0</v>
      </c>
      <c r="AD49" s="603"/>
      <c r="AE49" s="350">
        <f ca="1">SUM(AE43:AE48)</f>
        <v>0</v>
      </c>
      <c r="AF49" s="347">
        <f ca="1">SUM(AF43:AF48)</f>
        <v>301400</v>
      </c>
    </row>
    <row r="50" spans="2:32" ht="20.149999999999999" customHeight="1" x14ac:dyDescent="0.2">
      <c r="B50" s="1" t="s">
        <v>284</v>
      </c>
      <c r="C50" s="1"/>
      <c r="D50" s="1"/>
      <c r="E50" s="305"/>
      <c r="F50" s="309"/>
      <c r="G50" s="309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9"/>
      <c r="AE50" s="309"/>
      <c r="AF50" s="1"/>
    </row>
    <row r="51" spans="2:32" ht="13.5" customHeight="1" x14ac:dyDescent="0.2">
      <c r="E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</row>
    <row r="52" spans="2:32" ht="13.5" customHeight="1" x14ac:dyDescent="0.2">
      <c r="E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</row>
    <row r="53" spans="2:32" ht="13" x14ac:dyDescent="0.2">
      <c r="E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</row>
  </sheetData>
  <sheetProtection formatCells="0"/>
  <mergeCells count="84">
    <mergeCell ref="F1:G1"/>
    <mergeCell ref="A12:A19"/>
    <mergeCell ref="B19:D19"/>
    <mergeCell ref="AF6:AF7"/>
    <mergeCell ref="AD7:AE7"/>
    <mergeCell ref="AD6:AE6"/>
    <mergeCell ref="F7:G7"/>
    <mergeCell ref="A11:D11"/>
    <mergeCell ref="N7:O7"/>
    <mergeCell ref="L6:M6"/>
    <mergeCell ref="F6:G6"/>
    <mergeCell ref="J7:K7"/>
    <mergeCell ref="J6:K6"/>
    <mergeCell ref="H7:I7"/>
    <mergeCell ref="H6:I6"/>
    <mergeCell ref="L7:M7"/>
    <mergeCell ref="B49:D49"/>
    <mergeCell ref="B45:D45"/>
    <mergeCell ref="AB7:AC7"/>
    <mergeCell ref="AB6:AC6"/>
    <mergeCell ref="Z7:AA7"/>
    <mergeCell ref="Z6:AA6"/>
    <mergeCell ref="X7:Y7"/>
    <mergeCell ref="X6:Y6"/>
    <mergeCell ref="P7:Q7"/>
    <mergeCell ref="P6:Q6"/>
    <mergeCell ref="V7:W7"/>
    <mergeCell ref="V6:W6"/>
    <mergeCell ref="T7:U7"/>
    <mergeCell ref="T6:U6"/>
    <mergeCell ref="R7:S7"/>
    <mergeCell ref="R6:S6"/>
    <mergeCell ref="N6:O6"/>
    <mergeCell ref="C3:D3"/>
    <mergeCell ref="B4:C4"/>
    <mergeCell ref="C21:C23"/>
    <mergeCell ref="B27:D27"/>
    <mergeCell ref="A28:A30"/>
    <mergeCell ref="B30:D30"/>
    <mergeCell ref="A31:D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B41:AC41"/>
    <mergeCell ref="AD31:AE31"/>
    <mergeCell ref="A32:D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B44:D44"/>
    <mergeCell ref="AD41:AE41"/>
    <mergeCell ref="B43:D43"/>
    <mergeCell ref="A20:A27"/>
    <mergeCell ref="B21:B24"/>
    <mergeCell ref="AD33:AE33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</mergeCells>
  <phoneticPr fontId="2"/>
  <conditionalFormatting sqref="F32:G32">
    <cfRule type="cellIs" dxfId="28" priority="5" stopIfTrue="1" operator="greaterThan">
      <formula>0</formula>
    </cfRule>
    <cfRule type="expression" dxfId="27" priority="6" stopIfTrue="1">
      <formula>AND($F$32&lt;&gt;"",$H$32="")</formula>
    </cfRule>
  </conditionalFormatting>
  <conditionalFormatting sqref="F8:AE10 F13:AE18 F20:AE26 F28:AE29">
    <cfRule type="cellIs" dxfId="26" priority="2" stopIfTrue="1" operator="equal">
      <formula>0</formula>
    </cfRule>
  </conditionalFormatting>
  <conditionalFormatting sqref="F19:AE19 F27:AE27 F30:AE30 F31 H31 J31 L31 N31 P31 R31 T31 V31 X31 Z31 AB31 AD31">
    <cfRule type="cellIs" dxfId="25" priority="4" stopIfTrue="1" operator="equal">
      <formula>0</formula>
    </cfRule>
  </conditionalFormatting>
  <conditionalFormatting sqref="F43:AE48">
    <cfRule type="cellIs" dxfId="24" priority="1" stopIfTrue="1" operator="equal">
      <formula>0</formula>
    </cfRule>
  </conditionalFormatting>
  <conditionalFormatting sqref="H32:I32">
    <cfRule type="expression" dxfId="23" priority="7" stopIfTrue="1">
      <formula>AND($F$32&lt;0,$H$32&gt;0,$H$32&lt;&gt;"")</formula>
    </cfRule>
    <cfRule type="expression" dxfId="22" priority="8" stopIfTrue="1">
      <formula>AND($H$32&lt;&gt;"",$J$32="")</formula>
    </cfRule>
  </conditionalFormatting>
  <conditionalFormatting sqref="J32:K32">
    <cfRule type="expression" dxfId="21" priority="9" stopIfTrue="1">
      <formula>AND($H$32&lt;0,$J$32&gt;0,$J$32&lt;&gt;"")</formula>
    </cfRule>
    <cfRule type="expression" dxfId="20" priority="10" stopIfTrue="1">
      <formula>AND($J$32&lt;&gt;"",$L$32="")</formula>
    </cfRule>
  </conditionalFormatting>
  <conditionalFormatting sqref="L32:M32">
    <cfRule type="expression" dxfId="19" priority="11" stopIfTrue="1">
      <formula>AND($J$32&lt;0,$L$32&gt;0,$L$32&lt;&gt;"")</formula>
    </cfRule>
    <cfRule type="expression" dxfId="18" priority="12" stopIfTrue="1">
      <formula>AND($L$32&lt;&gt;"",$N$32="")</formula>
    </cfRule>
  </conditionalFormatting>
  <conditionalFormatting sqref="N32:O32">
    <cfRule type="expression" dxfId="17" priority="13" stopIfTrue="1">
      <formula>AND($L$32&lt;0,$N$32&gt;0,$N$32&lt;&gt;"")</formula>
    </cfRule>
    <cfRule type="expression" dxfId="16" priority="14" stopIfTrue="1">
      <formula>AND($N$32&lt;&gt;"",$P$32="")</formula>
    </cfRule>
  </conditionalFormatting>
  <conditionalFormatting sqref="P32:Q32">
    <cfRule type="expression" dxfId="15" priority="15" stopIfTrue="1">
      <formula>AND($N$32&lt;0,$P$32&gt;0,$P$32&lt;&gt;"")</formula>
    </cfRule>
    <cfRule type="expression" dxfId="14" priority="16" stopIfTrue="1">
      <formula>AND($P$32&lt;&gt;"",$R$32="")</formula>
    </cfRule>
  </conditionalFormatting>
  <conditionalFormatting sqref="R32:S32">
    <cfRule type="expression" dxfId="13" priority="17" stopIfTrue="1">
      <formula>AND($P$32&lt;0,$R$32&gt;0,$R$32&lt;&gt;"")</formula>
    </cfRule>
    <cfRule type="expression" dxfId="12" priority="18" stopIfTrue="1">
      <formula>AND($R$32&lt;&gt;"",$T$32="")</formula>
    </cfRule>
  </conditionalFormatting>
  <conditionalFormatting sqref="T32:U32">
    <cfRule type="expression" dxfId="11" priority="19" stopIfTrue="1">
      <formula>AND($R$32&lt;0,$T$32&gt;0,$T$32&lt;&gt;"")</formula>
    </cfRule>
    <cfRule type="expression" dxfId="10" priority="20" stopIfTrue="1">
      <formula>AND($T$32&lt;&gt;"",$V$32="")</formula>
    </cfRule>
  </conditionalFormatting>
  <conditionalFormatting sqref="V32:W32">
    <cfRule type="expression" dxfId="9" priority="21" stopIfTrue="1">
      <formula>AND($T$32&lt;0,$V$32&gt;0,$V$32&lt;&gt;"")</formula>
    </cfRule>
    <cfRule type="expression" dxfId="8" priority="22" stopIfTrue="1">
      <formula>AND($V$32&lt;&gt;"",$X$32="")</formula>
    </cfRule>
  </conditionalFormatting>
  <conditionalFormatting sqref="X32:Y32">
    <cfRule type="expression" dxfId="7" priority="23" stopIfTrue="1">
      <formula>AND($V$32&lt;0,$X$32&gt;0,$X$32&lt;&gt;"")</formula>
    </cfRule>
    <cfRule type="expression" dxfId="6" priority="24" stopIfTrue="1">
      <formula>AND($X$32&lt;&gt;"",$Z$32="")</formula>
    </cfRule>
  </conditionalFormatting>
  <conditionalFormatting sqref="Z32:AA32">
    <cfRule type="expression" dxfId="5" priority="25" stopIfTrue="1">
      <formula>AND($X$32&lt;0,$Z$32&gt;0,$Z$32&lt;&gt;"")</formula>
    </cfRule>
    <cfRule type="expression" dxfId="4" priority="26" stopIfTrue="1">
      <formula>AND($Z$32&lt;&gt;"",$AB$32="")</formula>
    </cfRule>
  </conditionalFormatting>
  <conditionalFormatting sqref="AB32:AC32">
    <cfRule type="expression" dxfId="3" priority="27" stopIfTrue="1">
      <formula>AND($Z$32&lt;0,$AB$32&gt;0,$AB$32&lt;&gt;"")</formula>
    </cfRule>
    <cfRule type="expression" dxfId="2" priority="28" stopIfTrue="1">
      <formula>AND($AB$32&lt;&gt;"",$AD$32="")</formula>
    </cfRule>
  </conditionalFormatting>
  <conditionalFormatting sqref="AD32:AE32">
    <cfRule type="expression" dxfId="1" priority="29" stopIfTrue="1">
      <formula>AND($AB$32&lt;0,$AD$32&gt;0,$AD$32&lt;&gt;"")</formula>
    </cfRule>
    <cfRule type="expression" dxfId="0" priority="30" stopIfTrue="1">
      <formula>$AD$31&gt;0</formula>
    </cfRule>
  </conditionalFormatting>
  <dataValidations count="1">
    <dataValidation type="date" imeMode="off" operator="greaterThanOrEqual" allowBlank="1" showErrorMessage="1" sqref="C3 F1" xr:uid="{00000000-0002-0000-0100-000000000000}">
      <formula1>1</formula1>
    </dataValidation>
  </dataValidations>
  <printOptions horizontalCentered="1"/>
  <pageMargins left="0.39370078740157483" right="0.39370078740157483" top="0.9055118110236221" bottom="0.35433070866141736" header="0.51181102362204722" footer="0.15748031496062992"/>
  <pageSetup paperSize="8" scale="75" pageOrder="overThenDown" orientation="landscape" r:id="rId1"/>
  <headerFooter alignWithMargins="0">
    <oddHeader>&amp;R月別受入費等明細（コース不参加）：2025年度版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176"/>
  <sheetViews>
    <sheetView showGridLines="0" topLeftCell="A37" zoomScaleNormal="100" workbookViewId="0">
      <selection activeCell="C40" sqref="C40"/>
    </sheetView>
  </sheetViews>
  <sheetFormatPr defaultColWidth="10.6328125" defaultRowHeight="13.5" customHeight="1" x14ac:dyDescent="0.2"/>
  <cols>
    <col min="1" max="1" width="3" style="1" customWidth="1"/>
    <col min="2" max="2" width="13.08984375" style="1" customWidth="1"/>
    <col min="3" max="3" width="31.08984375" style="1" customWidth="1"/>
    <col min="4" max="16384" width="10.6328125" style="1"/>
  </cols>
  <sheetData>
    <row r="1" spans="1:23" ht="13.5" customHeight="1" x14ac:dyDescent="0.2">
      <c r="A1" s="2"/>
      <c r="B1" s="1" t="s">
        <v>233</v>
      </c>
    </row>
    <row r="2" spans="1:23" ht="13.5" customHeight="1" x14ac:dyDescent="0.2">
      <c r="B2" s="138" t="s">
        <v>222</v>
      </c>
    </row>
    <row r="3" spans="1:23" ht="13.5" customHeight="1" thickBot="1" x14ac:dyDescent="0.25">
      <c r="B3" s="1" t="s">
        <v>19</v>
      </c>
      <c r="K3" s="1" t="s">
        <v>77</v>
      </c>
      <c r="Q3" s="1" t="s">
        <v>303</v>
      </c>
      <c r="S3"/>
    </row>
    <row r="4" spans="1:23" ht="13.5" customHeight="1" thickBot="1" x14ac:dyDescent="0.25">
      <c r="B4" s="116" t="s">
        <v>54</v>
      </c>
      <c r="C4" s="117" t="s">
        <v>55</v>
      </c>
      <c r="D4" s="866" t="s">
        <v>25</v>
      </c>
      <c r="E4" s="867"/>
      <c r="K4" s="120"/>
      <c r="L4" s="121"/>
      <c r="M4" s="117" t="s">
        <v>21</v>
      </c>
      <c r="N4" s="866" t="s">
        <v>25</v>
      </c>
      <c r="O4" s="868"/>
      <c r="Q4" s="859" t="s">
        <v>69</v>
      </c>
      <c r="R4" s="869" t="s">
        <v>70</v>
      </c>
      <c r="S4" s="870"/>
    </row>
    <row r="5" spans="1:23" ht="13.5" customHeight="1" thickTop="1" thickBot="1" x14ac:dyDescent="0.25">
      <c r="B5" s="74" t="s">
        <v>40</v>
      </c>
      <c r="C5" s="75">
        <f>コース不参加費用試算!F9</f>
        <v>46162</v>
      </c>
      <c r="D5" s="76" t="s">
        <v>66</v>
      </c>
      <c r="E5" s="77">
        <f>YEAR(DATE(YEAR(C5),MONTH(C5)-2,0))</f>
        <v>2026</v>
      </c>
      <c r="K5" s="34" t="str">
        <f>MATCH(L5,$N$15:$N$27,0)&amp;"ヶ月目"</f>
        <v>1ヶ月目</v>
      </c>
      <c r="L5" s="78" t="str">
        <f>VLOOKUP(YEAR(C5)&amp;"/"&amp;MONTH(C5),【研修日数】,1,FALSE)</f>
        <v>2026/5</v>
      </c>
      <c r="M5" s="29">
        <f>コース不参加費用試算!$O$14</f>
        <v>0</v>
      </c>
      <c r="N5" s="537" t="s">
        <v>229</v>
      </c>
      <c r="O5" s="538" t="s">
        <v>230</v>
      </c>
      <c r="Q5" s="860"/>
      <c r="R5" s="213" t="s">
        <v>71</v>
      </c>
      <c r="S5" s="122" t="s">
        <v>74</v>
      </c>
    </row>
    <row r="6" spans="1:23" ht="13.5" customHeight="1" thickTop="1" x14ac:dyDescent="0.2">
      <c r="B6" s="5" t="s">
        <v>4</v>
      </c>
      <c r="C6" s="124">
        <f>コース不参加費用試算!$F$11</f>
        <v>72</v>
      </c>
      <c r="D6" s="6"/>
      <c r="E6" s="7"/>
      <c r="K6" s="539" t="str">
        <f>IF(L6="","",MATCH(L6,$N$15:$N$27,0)&amp;"ヶ月目")</f>
        <v>3ヶ月目</v>
      </c>
      <c r="L6" s="78" t="str">
        <f>VLOOKUP(YEAR(C14)&amp;"/"&amp;MONTH(C14),【研修日数】,1,FALSE)</f>
        <v>2026/7</v>
      </c>
      <c r="M6" s="29">
        <f>コース不参加費用試算!$O$15</f>
        <v>0</v>
      </c>
      <c r="N6" s="540" t="s">
        <v>232</v>
      </c>
      <c r="O6" s="538"/>
      <c r="Q6" s="82" t="s">
        <v>72</v>
      </c>
      <c r="R6" s="655">
        <v>2780</v>
      </c>
      <c r="S6" s="83"/>
    </row>
    <row r="7" spans="1:23" ht="13.5" customHeight="1" thickBot="1" x14ac:dyDescent="0.25">
      <c r="B7" s="59" t="s">
        <v>5</v>
      </c>
      <c r="C7" s="60"/>
      <c r="D7" s="64"/>
      <c r="E7" s="61"/>
      <c r="K7" s="518"/>
      <c r="L7" s="519"/>
      <c r="M7" s="520"/>
      <c r="N7" s="521"/>
      <c r="O7" s="522"/>
      <c r="Q7" s="32" t="s">
        <v>73</v>
      </c>
      <c r="R7" s="33"/>
      <c r="S7" s="656">
        <v>880</v>
      </c>
    </row>
    <row r="8" spans="1:23" ht="13.5" customHeight="1" thickBot="1" x14ac:dyDescent="0.25">
      <c r="B8" s="20" t="s">
        <v>28</v>
      </c>
      <c r="C8" s="23"/>
      <c r="D8" s="25"/>
      <c r="E8" s="26"/>
      <c r="K8" s="871" t="s">
        <v>3</v>
      </c>
      <c r="L8" s="872"/>
      <c r="M8" s="79">
        <f>SUM(M5:M7)</f>
        <v>0</v>
      </c>
      <c r="N8" s="80"/>
      <c r="O8" s="81"/>
    </row>
    <row r="9" spans="1:23" ht="13.5" customHeight="1" x14ac:dyDescent="0.2">
      <c r="B9" s="70" t="s">
        <v>68</v>
      </c>
      <c r="C9" s="71"/>
      <c r="D9" s="72" t="s">
        <v>56</v>
      </c>
      <c r="E9" s="73"/>
    </row>
    <row r="10" spans="1:23" ht="13.5" customHeight="1" x14ac:dyDescent="0.2">
      <c r="B10" s="21" t="s">
        <v>29</v>
      </c>
      <c r="C10" s="24"/>
      <c r="D10" s="27"/>
      <c r="E10" s="28"/>
    </row>
    <row r="11" spans="1:23" ht="13.5" customHeight="1" thickBot="1" x14ac:dyDescent="0.25">
      <c r="B11" s="134" t="s">
        <v>169</v>
      </c>
      <c r="C11" s="135"/>
      <c r="D11" s="135" t="str">
        <f>IF(C11="","",$C$11+2)</f>
        <v/>
      </c>
      <c r="E11" s="136"/>
      <c r="K11" s="1" t="s">
        <v>20</v>
      </c>
      <c r="L11" s="3"/>
      <c r="P11"/>
    </row>
    <row r="12" spans="1:23" ht="13.5" customHeight="1" x14ac:dyDescent="0.2">
      <c r="B12" s="62" t="s">
        <v>26</v>
      </c>
      <c r="C12" s="63">
        <f>コース不参加費用試算!$F$13</f>
        <v>46162</v>
      </c>
      <c r="D12" s="64"/>
      <c r="E12" s="65"/>
      <c r="K12" s="876"/>
      <c r="L12" s="850" t="s">
        <v>60</v>
      </c>
      <c r="M12" s="850" t="s">
        <v>61</v>
      </c>
      <c r="N12" s="850" t="s">
        <v>64</v>
      </c>
      <c r="O12" s="850" t="s">
        <v>63</v>
      </c>
      <c r="P12" s="873" t="s">
        <v>62</v>
      </c>
      <c r="Q12" s="850" t="s">
        <v>37</v>
      </c>
      <c r="R12" s="850" t="s">
        <v>31</v>
      </c>
      <c r="S12" s="850" t="s">
        <v>57</v>
      </c>
      <c r="T12" s="873" t="s">
        <v>88</v>
      </c>
      <c r="U12" s="850" t="s">
        <v>33</v>
      </c>
      <c r="V12" s="850" t="s">
        <v>35</v>
      </c>
      <c r="W12" s="863" t="s">
        <v>34</v>
      </c>
    </row>
    <row r="13" spans="1:23" ht="13.5" customHeight="1" x14ac:dyDescent="0.2">
      <c r="B13" s="21" t="s">
        <v>68</v>
      </c>
      <c r="C13" s="22">
        <f>コース不参加費用試算!$F$11</f>
        <v>72</v>
      </c>
      <c r="D13" s="27"/>
      <c r="E13" s="28"/>
      <c r="K13" s="877"/>
      <c r="L13" s="851"/>
      <c r="M13" s="851"/>
      <c r="N13" s="851"/>
      <c r="O13" s="851"/>
      <c r="P13" s="874"/>
      <c r="Q13" s="851"/>
      <c r="R13" s="851"/>
      <c r="S13" s="851"/>
      <c r="T13" s="874"/>
      <c r="U13" s="851"/>
      <c r="V13" s="851"/>
      <c r="W13" s="864"/>
    </row>
    <row r="14" spans="1:23" ht="13.5" customHeight="1" thickBot="1" x14ac:dyDescent="0.25">
      <c r="B14" s="66" t="s">
        <v>65</v>
      </c>
      <c r="C14" s="67">
        <f>コース不参加費用試算!I13</f>
        <v>46233</v>
      </c>
      <c r="D14" s="68" t="s">
        <v>66</v>
      </c>
      <c r="E14" s="69">
        <f>YEAR(DATE(YEAR(C14),MONTH(C14)-2,0))</f>
        <v>2026</v>
      </c>
      <c r="K14" s="878"/>
      <c r="L14" s="852"/>
      <c r="M14" s="852"/>
      <c r="N14" s="852"/>
      <c r="O14" s="852"/>
      <c r="P14" s="875"/>
      <c r="Q14" s="852"/>
      <c r="R14" s="852"/>
      <c r="S14" s="852"/>
      <c r="T14" s="875"/>
      <c r="U14" s="852"/>
      <c r="V14" s="852"/>
      <c r="W14" s="865"/>
    </row>
    <row r="15" spans="1:23" ht="13.5" customHeight="1" thickTop="1" x14ac:dyDescent="0.2">
      <c r="K15" s="84" t="s">
        <v>6</v>
      </c>
      <c r="L15" s="85">
        <f>YEAR(C5)</f>
        <v>2026</v>
      </c>
      <c r="M15" s="86">
        <f>MONTH(C5)</f>
        <v>5</v>
      </c>
      <c r="N15" s="87" t="str">
        <f>L15&amp;"/"&amp;M15</f>
        <v>2026/5</v>
      </c>
      <c r="O15" s="86">
        <f t="shared" ref="O15:O27" si="0">VLOOKUP(M15,【月別標準日数】,3,FALSE)</f>
        <v>31</v>
      </c>
      <c r="P15" s="75">
        <f>DATE(L15,M15,O15)</f>
        <v>46173</v>
      </c>
      <c r="Q15" s="88" t="str">
        <f>IF(OR(MOD(YEAR(P15),400)=0,AND(MOD(YEAR(P15),4)=0,MOD(YEAR(P15),100)&lt;&gt;0,MONTH(P15)=2)),"○","×")</f>
        <v>×</v>
      </c>
      <c r="R15" s="89">
        <f t="shared" ref="R15:R27" si="1">IF(Q15="×",P15,P15+1)</f>
        <v>46173</v>
      </c>
      <c r="S15" s="90">
        <f t="shared" ref="S15:S27" si="2">DAY(R15)</f>
        <v>31</v>
      </c>
      <c r="T15" s="91">
        <f>IF($C$14&lt;$R$15,$C$13,(DATEDIF($C$5,R15,"D")+1))</f>
        <v>12</v>
      </c>
      <c r="U15" s="92">
        <f>T15</f>
        <v>12</v>
      </c>
      <c r="V15" s="92">
        <v>0</v>
      </c>
      <c r="W15" s="93">
        <f t="shared" ref="W15:W27" si="3">U15-V15</f>
        <v>12</v>
      </c>
    </row>
    <row r="16" spans="1:23" ht="13.5" customHeight="1" thickBot="1" x14ac:dyDescent="0.25">
      <c r="K16" s="9" t="s">
        <v>7</v>
      </c>
      <c r="L16" s="10">
        <f t="shared" ref="L16:L27" si="4">IF(M15=12,L15+1,L15)</f>
        <v>2026</v>
      </c>
      <c r="M16" s="11">
        <f>IF(M15=12,1,M15+1)</f>
        <v>6</v>
      </c>
      <c r="N16" s="12" t="str">
        <f t="shared" ref="N16:N27" si="5">L16&amp;"/"&amp;M16</f>
        <v>2026/6</v>
      </c>
      <c r="O16" s="11">
        <f t="shared" si="0"/>
        <v>30</v>
      </c>
      <c r="P16" s="8">
        <f t="shared" ref="P16:P27" si="6">DATE(L16,M16,O16)</f>
        <v>46203</v>
      </c>
      <c r="Q16" s="13" t="str">
        <f t="shared" ref="Q16:Q27" si="7">IF(OR(MOD(YEAR(P16),400)=0,AND(MOD(YEAR(P16),4)=0,MOD(YEAR(P16),100)&lt;&gt;0,MONTH(P16)=2)),"○","×")</f>
        <v>×</v>
      </c>
      <c r="R16" s="14">
        <f t="shared" si="1"/>
        <v>46203</v>
      </c>
      <c r="S16" s="15">
        <f t="shared" si="2"/>
        <v>30</v>
      </c>
      <c r="T16" s="16">
        <f t="shared" ref="T16:T27" si="8">DATEDIF($C$5,R16,"D")+1</f>
        <v>42</v>
      </c>
      <c r="U16" s="17">
        <f>IF(U15=$C$6,0,IF(T16&gt;$C$6,$C$6-T15,S16))</f>
        <v>30</v>
      </c>
      <c r="V16" s="17">
        <f>IF(($C$9-V15)&gt;U16,U16,($C$9-V15))</f>
        <v>0</v>
      </c>
      <c r="W16" s="18">
        <f t="shared" si="3"/>
        <v>30</v>
      </c>
    </row>
    <row r="17" spans="1:23" ht="13.5" customHeight="1" x14ac:dyDescent="0.2">
      <c r="B17" s="118" t="s">
        <v>83</v>
      </c>
      <c r="C17" s="111" t="s">
        <v>80</v>
      </c>
      <c r="D17" s="621">
        <v>800</v>
      </c>
      <c r="J17" s="3"/>
      <c r="K17" s="9" t="s">
        <v>8</v>
      </c>
      <c r="L17" s="10">
        <f t="shared" si="4"/>
        <v>2026</v>
      </c>
      <c r="M17" s="11">
        <f t="shared" ref="M17:M27" si="9">IF(M16=12,1,M16+1)</f>
        <v>7</v>
      </c>
      <c r="N17" s="12" t="str">
        <f t="shared" si="5"/>
        <v>2026/7</v>
      </c>
      <c r="O17" s="11">
        <f t="shared" si="0"/>
        <v>31</v>
      </c>
      <c r="P17" s="8">
        <f t="shared" si="6"/>
        <v>46234</v>
      </c>
      <c r="Q17" s="13" t="str">
        <f t="shared" si="7"/>
        <v>×</v>
      </c>
      <c r="R17" s="14">
        <f t="shared" si="1"/>
        <v>46234</v>
      </c>
      <c r="S17" s="15">
        <f t="shared" si="2"/>
        <v>31</v>
      </c>
      <c r="T17" s="16">
        <f t="shared" si="8"/>
        <v>73</v>
      </c>
      <c r="U17" s="17">
        <f>IF(SUM(U15:U16)=$C$6,0,IF(T17&gt;$C$6,$C$6-T16,S17))</f>
        <v>30</v>
      </c>
      <c r="V17" s="17">
        <f>IF(($C$9-SUM($V$15:V16))&gt;U17,U17,($C$9-SUM($V$15:V16)))</f>
        <v>0</v>
      </c>
      <c r="W17" s="18">
        <f t="shared" si="3"/>
        <v>30</v>
      </c>
    </row>
    <row r="18" spans="1:23" ht="13.5" customHeight="1" x14ac:dyDescent="0.2">
      <c r="A18" s="3"/>
      <c r="B18" s="119"/>
      <c r="C18" s="31" t="s">
        <v>81</v>
      </c>
      <c r="D18" s="622">
        <v>1000</v>
      </c>
      <c r="J18" s="3"/>
      <c r="K18" s="9" t="s">
        <v>9</v>
      </c>
      <c r="L18" s="10">
        <f t="shared" si="4"/>
        <v>2026</v>
      </c>
      <c r="M18" s="11">
        <f t="shared" si="9"/>
        <v>8</v>
      </c>
      <c r="N18" s="12" t="str">
        <f t="shared" si="5"/>
        <v>2026/8</v>
      </c>
      <c r="O18" s="11">
        <f t="shared" si="0"/>
        <v>31</v>
      </c>
      <c r="P18" s="8">
        <f t="shared" si="6"/>
        <v>46265</v>
      </c>
      <c r="Q18" s="13" t="str">
        <f t="shared" si="7"/>
        <v>×</v>
      </c>
      <c r="R18" s="14">
        <f t="shared" si="1"/>
        <v>46265</v>
      </c>
      <c r="S18" s="15">
        <f t="shared" si="2"/>
        <v>31</v>
      </c>
      <c r="T18" s="16">
        <f t="shared" si="8"/>
        <v>104</v>
      </c>
      <c r="U18" s="17">
        <f>IF(SUM(U15:U17)=$C$6,0,IF(T18&gt;$C$6,$C$6-T17,S18))</f>
        <v>0</v>
      </c>
      <c r="V18" s="17">
        <f>IF(($C$9-SUM($V$15:V17))&gt;U18,U18,($C$9-SUM($V$15:V17)))</f>
        <v>0</v>
      </c>
      <c r="W18" s="18">
        <f t="shared" si="3"/>
        <v>0</v>
      </c>
    </row>
    <row r="19" spans="1:23" ht="13.5" customHeight="1" x14ac:dyDescent="0.2">
      <c r="A19" s="3"/>
      <c r="B19" s="119"/>
      <c r="C19" s="115" t="s">
        <v>82</v>
      </c>
      <c r="D19" s="653">
        <v>1400</v>
      </c>
      <c r="J19" s="3"/>
      <c r="K19" s="9" t="s">
        <v>10</v>
      </c>
      <c r="L19" s="10">
        <f t="shared" si="4"/>
        <v>2026</v>
      </c>
      <c r="M19" s="11">
        <f t="shared" si="9"/>
        <v>9</v>
      </c>
      <c r="N19" s="12" t="str">
        <f t="shared" si="5"/>
        <v>2026/9</v>
      </c>
      <c r="O19" s="11">
        <f t="shared" si="0"/>
        <v>30</v>
      </c>
      <c r="P19" s="8">
        <f t="shared" si="6"/>
        <v>46295</v>
      </c>
      <c r="Q19" s="13" t="str">
        <f t="shared" si="7"/>
        <v>×</v>
      </c>
      <c r="R19" s="14">
        <f t="shared" si="1"/>
        <v>46295</v>
      </c>
      <c r="S19" s="15">
        <f t="shared" si="2"/>
        <v>30</v>
      </c>
      <c r="T19" s="16">
        <f t="shared" si="8"/>
        <v>134</v>
      </c>
      <c r="U19" s="17">
        <f>IF(SUM(U15:U18)=$C$6,0,IF(T19&gt;$C$6,$C$6-T18,S19))</f>
        <v>0</v>
      </c>
      <c r="V19" s="17">
        <f>IF(($C$9-SUM($V$15:V18))&gt;U19,U19,($C$9-SUM($V$15:V18)))</f>
        <v>0</v>
      </c>
      <c r="W19" s="18">
        <f t="shared" si="3"/>
        <v>0</v>
      </c>
    </row>
    <row r="20" spans="1:23" ht="13.5" customHeight="1" thickBot="1" x14ac:dyDescent="0.25">
      <c r="A20" s="3"/>
      <c r="B20" s="613" t="s">
        <v>1</v>
      </c>
      <c r="C20" s="66" t="s">
        <v>1</v>
      </c>
      <c r="D20" s="631">
        <v>1000</v>
      </c>
      <c r="J20" s="3"/>
      <c r="K20" s="9" t="s">
        <v>11</v>
      </c>
      <c r="L20" s="10">
        <f t="shared" si="4"/>
        <v>2026</v>
      </c>
      <c r="M20" s="11">
        <f t="shared" si="9"/>
        <v>10</v>
      </c>
      <c r="N20" s="12" t="str">
        <f t="shared" si="5"/>
        <v>2026/10</v>
      </c>
      <c r="O20" s="11">
        <f t="shared" si="0"/>
        <v>31</v>
      </c>
      <c r="P20" s="8">
        <f t="shared" si="6"/>
        <v>46326</v>
      </c>
      <c r="Q20" s="13" t="str">
        <f t="shared" si="7"/>
        <v>×</v>
      </c>
      <c r="R20" s="14">
        <f t="shared" si="1"/>
        <v>46326</v>
      </c>
      <c r="S20" s="15">
        <f t="shared" si="2"/>
        <v>31</v>
      </c>
      <c r="T20" s="16">
        <f t="shared" si="8"/>
        <v>165</v>
      </c>
      <c r="U20" s="17">
        <f>IF(SUM(U15:U19)=$C$6,0,IF(T20&gt;$C$6,$C$6-T19,S20))</f>
        <v>0</v>
      </c>
      <c r="V20" s="17">
        <f>IF(($C$9-SUM($V$15:V19))&gt;U20,U20,($C$9-SUM($V$15:V19)))</f>
        <v>0</v>
      </c>
      <c r="W20" s="18">
        <f t="shared" si="3"/>
        <v>0</v>
      </c>
    </row>
    <row r="21" spans="1:23" ht="13.5" customHeight="1" x14ac:dyDescent="0.2">
      <c r="A21" s="3"/>
      <c r="J21" s="3"/>
      <c r="K21" s="9" t="s">
        <v>12</v>
      </c>
      <c r="L21" s="10">
        <f t="shared" si="4"/>
        <v>2026</v>
      </c>
      <c r="M21" s="11">
        <f t="shared" si="9"/>
        <v>11</v>
      </c>
      <c r="N21" s="12" t="str">
        <f t="shared" si="5"/>
        <v>2026/11</v>
      </c>
      <c r="O21" s="11">
        <f t="shared" si="0"/>
        <v>30</v>
      </c>
      <c r="P21" s="8">
        <f t="shared" si="6"/>
        <v>46356</v>
      </c>
      <c r="Q21" s="13" t="str">
        <f t="shared" si="7"/>
        <v>×</v>
      </c>
      <c r="R21" s="14">
        <f t="shared" si="1"/>
        <v>46356</v>
      </c>
      <c r="S21" s="15">
        <f t="shared" si="2"/>
        <v>30</v>
      </c>
      <c r="T21" s="16">
        <f t="shared" si="8"/>
        <v>195</v>
      </c>
      <c r="U21" s="17">
        <f>IF(SUM(U15:U20)=$C$6,0,IF(T21&gt;$C$6,$C$6-T20,S21))</f>
        <v>0</v>
      </c>
      <c r="V21" s="17">
        <f>IF(($C$9-SUM($V$15:V20))&gt;U21,U21,($C$9-SUM($V$15:V20)))</f>
        <v>0</v>
      </c>
      <c r="W21" s="18">
        <f t="shared" si="3"/>
        <v>0</v>
      </c>
    </row>
    <row r="22" spans="1:23" ht="13.5" customHeight="1" x14ac:dyDescent="0.2">
      <c r="A22" s="3"/>
      <c r="E22" s="3"/>
      <c r="J22" s="3"/>
      <c r="K22" s="9" t="s">
        <v>13</v>
      </c>
      <c r="L22" s="10">
        <f t="shared" si="4"/>
        <v>2026</v>
      </c>
      <c r="M22" s="11">
        <f t="shared" si="9"/>
        <v>12</v>
      </c>
      <c r="N22" s="12" t="str">
        <f t="shared" si="5"/>
        <v>2026/12</v>
      </c>
      <c r="O22" s="11">
        <f t="shared" si="0"/>
        <v>31</v>
      </c>
      <c r="P22" s="8">
        <f t="shared" si="6"/>
        <v>46387</v>
      </c>
      <c r="Q22" s="13" t="str">
        <f t="shared" si="7"/>
        <v>×</v>
      </c>
      <c r="R22" s="14">
        <f t="shared" si="1"/>
        <v>46387</v>
      </c>
      <c r="S22" s="15">
        <f t="shared" si="2"/>
        <v>31</v>
      </c>
      <c r="T22" s="16">
        <f t="shared" si="8"/>
        <v>226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3"/>
        <v>0</v>
      </c>
    </row>
    <row r="23" spans="1:23" ht="13.5" customHeight="1" x14ac:dyDescent="0.2">
      <c r="A23" s="3"/>
      <c r="B23" s="1" t="s">
        <v>78</v>
      </c>
      <c r="C23" s="3"/>
      <c r="D23" s="3"/>
      <c r="E23" s="3"/>
      <c r="F23" s="3"/>
      <c r="G23" s="3"/>
      <c r="H23" s="3"/>
      <c r="I23" s="3"/>
      <c r="J23" s="3"/>
      <c r="K23" s="9" t="s">
        <v>14</v>
      </c>
      <c r="L23" s="10">
        <f t="shared" si="4"/>
        <v>2027</v>
      </c>
      <c r="M23" s="11">
        <f t="shared" si="9"/>
        <v>1</v>
      </c>
      <c r="N23" s="12" t="str">
        <f t="shared" si="5"/>
        <v>2027/1</v>
      </c>
      <c r="O23" s="11">
        <f t="shared" si="0"/>
        <v>31</v>
      </c>
      <c r="P23" s="8">
        <f t="shared" si="6"/>
        <v>46418</v>
      </c>
      <c r="Q23" s="13" t="str">
        <f t="shared" si="7"/>
        <v>×</v>
      </c>
      <c r="R23" s="14">
        <f t="shared" si="1"/>
        <v>46418</v>
      </c>
      <c r="S23" s="15">
        <f t="shared" si="2"/>
        <v>31</v>
      </c>
      <c r="T23" s="16">
        <f t="shared" si="8"/>
        <v>257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3"/>
        <v>0</v>
      </c>
    </row>
    <row r="24" spans="1:23" ht="13.5" customHeight="1" thickBot="1" x14ac:dyDescent="0.25">
      <c r="A24" s="3"/>
      <c r="B24" s="35">
        <v>2</v>
      </c>
      <c r="J24" s="3"/>
      <c r="K24" s="9" t="s">
        <v>15</v>
      </c>
      <c r="L24" s="10">
        <f t="shared" si="4"/>
        <v>2027</v>
      </c>
      <c r="M24" s="11">
        <f t="shared" si="9"/>
        <v>2</v>
      </c>
      <c r="N24" s="12" t="str">
        <f t="shared" si="5"/>
        <v>2027/2</v>
      </c>
      <c r="O24" s="11">
        <f t="shared" si="0"/>
        <v>28</v>
      </c>
      <c r="P24" s="8">
        <f t="shared" si="6"/>
        <v>46446</v>
      </c>
      <c r="Q24" s="13" t="str">
        <f t="shared" si="7"/>
        <v>×</v>
      </c>
      <c r="R24" s="14">
        <f t="shared" si="1"/>
        <v>46446</v>
      </c>
      <c r="S24" s="15">
        <f t="shared" si="2"/>
        <v>28</v>
      </c>
      <c r="T24" s="16">
        <f t="shared" si="8"/>
        <v>285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3"/>
        <v>0</v>
      </c>
    </row>
    <row r="25" spans="1:23" ht="13.5" customHeight="1" thickBot="1" x14ac:dyDescent="0.25">
      <c r="A25" s="3"/>
      <c r="B25" s="120" t="s">
        <v>27</v>
      </c>
      <c r="C25" s="116" t="s">
        <v>38</v>
      </c>
      <c r="D25" s="214" t="s">
        <v>84</v>
      </c>
      <c r="J25" s="3"/>
      <c r="K25" s="9" t="s">
        <v>16</v>
      </c>
      <c r="L25" s="10">
        <f t="shared" si="4"/>
        <v>2027</v>
      </c>
      <c r="M25" s="11">
        <f t="shared" si="9"/>
        <v>3</v>
      </c>
      <c r="N25" s="12" t="str">
        <f t="shared" si="5"/>
        <v>2027/3</v>
      </c>
      <c r="O25" s="11">
        <f t="shared" si="0"/>
        <v>31</v>
      </c>
      <c r="P25" s="8">
        <f t="shared" si="6"/>
        <v>46477</v>
      </c>
      <c r="Q25" s="13" t="str">
        <f t="shared" si="7"/>
        <v>×</v>
      </c>
      <c r="R25" s="14">
        <f t="shared" si="1"/>
        <v>46477</v>
      </c>
      <c r="S25" s="15">
        <f t="shared" si="2"/>
        <v>31</v>
      </c>
      <c r="T25" s="16">
        <f t="shared" si="8"/>
        <v>316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3"/>
        <v>0</v>
      </c>
    </row>
    <row r="26" spans="1:23" ht="13.5" customHeight="1" thickTop="1" x14ac:dyDescent="0.2">
      <c r="A26" s="3"/>
      <c r="B26" s="112">
        <v>1</v>
      </c>
      <c r="C26" s="31" t="s">
        <v>70</v>
      </c>
      <c r="D26" s="651">
        <v>9000</v>
      </c>
      <c r="F26" s="3"/>
      <c r="G26" s="3"/>
      <c r="H26" s="3"/>
      <c r="I26" s="3"/>
      <c r="J26" s="3"/>
      <c r="K26" s="9" t="s">
        <v>17</v>
      </c>
      <c r="L26" s="10">
        <f t="shared" si="4"/>
        <v>2027</v>
      </c>
      <c r="M26" s="11">
        <f t="shared" si="9"/>
        <v>4</v>
      </c>
      <c r="N26" s="12" t="str">
        <f t="shared" si="5"/>
        <v>2027/4</v>
      </c>
      <c r="O26" s="11">
        <f t="shared" si="0"/>
        <v>30</v>
      </c>
      <c r="P26" s="8">
        <f t="shared" si="6"/>
        <v>46507</v>
      </c>
      <c r="Q26" s="13" t="str">
        <f t="shared" si="7"/>
        <v>×</v>
      </c>
      <c r="R26" s="14">
        <f t="shared" si="1"/>
        <v>46507</v>
      </c>
      <c r="S26" s="15">
        <f t="shared" si="2"/>
        <v>30</v>
      </c>
      <c r="T26" s="16">
        <f t="shared" si="8"/>
        <v>346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3"/>
        <v>0</v>
      </c>
    </row>
    <row r="27" spans="1:23" ht="13.5" customHeight="1" thickBot="1" x14ac:dyDescent="0.25">
      <c r="A27" s="3"/>
      <c r="B27" s="112">
        <v>2</v>
      </c>
      <c r="C27" s="31" t="s">
        <v>23</v>
      </c>
      <c r="D27" s="652">
        <v>1570</v>
      </c>
      <c r="F27" s="3"/>
      <c r="G27" s="3"/>
      <c r="H27" s="3"/>
      <c r="I27" s="3"/>
      <c r="J27" s="3"/>
      <c r="K27" s="94" t="s">
        <v>18</v>
      </c>
      <c r="L27" s="95">
        <f t="shared" si="4"/>
        <v>2027</v>
      </c>
      <c r="M27" s="96">
        <f t="shared" si="9"/>
        <v>5</v>
      </c>
      <c r="N27" s="97" t="str">
        <f t="shared" si="5"/>
        <v>2027/5</v>
      </c>
      <c r="O27" s="96">
        <f t="shared" si="0"/>
        <v>31</v>
      </c>
      <c r="P27" s="67">
        <f t="shared" si="6"/>
        <v>46538</v>
      </c>
      <c r="Q27" s="98" t="str">
        <f t="shared" si="7"/>
        <v>×</v>
      </c>
      <c r="R27" s="99">
        <f t="shared" si="1"/>
        <v>46538</v>
      </c>
      <c r="S27" s="100">
        <f t="shared" si="2"/>
        <v>31</v>
      </c>
      <c r="T27" s="101">
        <f t="shared" si="8"/>
        <v>377</v>
      </c>
      <c r="U27" s="102">
        <f>IF(SUM(U15:U26)=$C$6,0,IF(T27&gt;$C$6,$C$6-T26,S27))</f>
        <v>0</v>
      </c>
      <c r="V27" s="102">
        <f>IF(($C$9-SUM($V$15:V26))&gt;U27,U27,($C$9-SUM($V$15:V26)))</f>
        <v>0</v>
      </c>
      <c r="W27" s="103">
        <f t="shared" si="3"/>
        <v>0</v>
      </c>
    </row>
    <row r="28" spans="1:23" ht="13.5" customHeight="1" thickBot="1" x14ac:dyDescent="0.25">
      <c r="A28" s="3"/>
      <c r="B28" s="113">
        <v>3</v>
      </c>
      <c r="C28" s="115" t="s">
        <v>24</v>
      </c>
      <c r="D28" s="653">
        <v>9000</v>
      </c>
      <c r="F28" s="3"/>
      <c r="G28" s="3"/>
      <c r="H28" s="3"/>
      <c r="I28" s="3"/>
      <c r="J28" s="3"/>
      <c r="T28" s="19" t="s">
        <v>3</v>
      </c>
      <c r="U28" s="125">
        <f>SUM(U15:U27)</f>
        <v>72</v>
      </c>
      <c r="V28" s="125">
        <f>SUM(V15:V27)</f>
        <v>0</v>
      </c>
      <c r="W28" s="126">
        <f>SUM(W15:W27)</f>
        <v>72</v>
      </c>
    </row>
    <row r="29" spans="1:23" ht="13.5" customHeight="1" thickBot="1" x14ac:dyDescent="0.25">
      <c r="A29" s="3"/>
      <c r="B29" s="114"/>
      <c r="C29" s="66" t="s">
        <v>87</v>
      </c>
      <c r="D29" s="654">
        <v>0</v>
      </c>
      <c r="F29" s="3"/>
      <c r="G29" s="3"/>
      <c r="H29" s="3"/>
      <c r="I29" s="3"/>
      <c r="J29" s="3"/>
    </row>
    <row r="30" spans="1:23" ht="13.5" customHeight="1" thickBot="1" x14ac:dyDescent="0.25">
      <c r="A30" s="3"/>
      <c r="F30" s="3"/>
      <c r="G30" s="3"/>
      <c r="H30" s="3"/>
      <c r="I30" s="3"/>
      <c r="J30" s="3"/>
      <c r="K30" s="1" t="s">
        <v>59</v>
      </c>
      <c r="S30" s="216" t="s">
        <v>261</v>
      </c>
    </row>
    <row r="31" spans="1:23" ht="13.5" customHeight="1" thickBot="1" x14ac:dyDescent="0.25">
      <c r="A31" s="3"/>
      <c r="J31" s="3"/>
      <c r="K31" s="116" t="s">
        <v>27</v>
      </c>
      <c r="L31" s="117" t="s">
        <v>53</v>
      </c>
      <c r="M31" s="123" t="s">
        <v>58</v>
      </c>
      <c r="T31" s="30" t="s">
        <v>262</v>
      </c>
      <c r="U31" s="30" t="s">
        <v>263</v>
      </c>
    </row>
    <row r="32" spans="1:23" ht="13.5" customHeight="1" thickTop="1" thickBot="1" x14ac:dyDescent="0.25">
      <c r="A32" s="3"/>
      <c r="B32" s="1" t="s">
        <v>85</v>
      </c>
      <c r="J32" s="3"/>
      <c r="K32" s="74">
        <v>1</v>
      </c>
      <c r="L32" s="104" t="s">
        <v>41</v>
      </c>
      <c r="M32" s="105">
        <v>31</v>
      </c>
      <c r="S32" s="216" t="s">
        <v>264</v>
      </c>
      <c r="T32" s="30">
        <f>DATEDIF($C$5-1,$C$14,"M")</f>
        <v>2</v>
      </c>
      <c r="U32" s="30">
        <f>DATEDIF($C$5-1,$C$14,"MD")</f>
        <v>11</v>
      </c>
    </row>
    <row r="33" spans="1:21" ht="13.5" customHeight="1" thickBot="1" x14ac:dyDescent="0.25">
      <c r="A33" s="3"/>
      <c r="B33" s="4">
        <v>5</v>
      </c>
      <c r="C33" s="3"/>
      <c r="D33" s="3"/>
      <c r="E33" s="3"/>
      <c r="F33" s="3"/>
      <c r="G33" s="3"/>
      <c r="H33" s="3"/>
      <c r="I33" s="3"/>
      <c r="J33" s="3"/>
      <c r="K33" s="31">
        <v>2</v>
      </c>
      <c r="L33" s="106" t="s">
        <v>42</v>
      </c>
      <c r="M33" s="107">
        <v>28</v>
      </c>
      <c r="S33" s="573" t="s">
        <v>265</v>
      </c>
      <c r="T33" s="574" t="s">
        <v>266</v>
      </c>
      <c r="U33" s="575" t="s">
        <v>267</v>
      </c>
    </row>
    <row r="34" spans="1:21" ht="13.5" customHeight="1" x14ac:dyDescent="0.2">
      <c r="A34" s="3"/>
      <c r="B34" s="859" t="s">
        <v>27</v>
      </c>
      <c r="C34" s="859" t="s">
        <v>86</v>
      </c>
      <c r="D34" s="855" t="s">
        <v>75</v>
      </c>
      <c r="E34" s="861" t="s">
        <v>76</v>
      </c>
      <c r="F34" s="859" t="s">
        <v>2</v>
      </c>
      <c r="G34" s="609" t="s">
        <v>288</v>
      </c>
      <c r="H34" s="609" t="s">
        <v>289</v>
      </c>
      <c r="I34" s="859" t="s">
        <v>296</v>
      </c>
      <c r="J34" s="3"/>
      <c r="K34" s="31">
        <v>3</v>
      </c>
      <c r="L34" s="106" t="s">
        <v>43</v>
      </c>
      <c r="M34" s="107">
        <v>31</v>
      </c>
      <c r="S34" s="576" t="str">
        <f>IF($C$6=T34,"該当","")</f>
        <v/>
      </c>
      <c r="T34" s="577">
        <v>1</v>
      </c>
      <c r="U34" s="649">
        <v>470</v>
      </c>
    </row>
    <row r="35" spans="1:21" ht="13.5" customHeight="1" thickBot="1" x14ac:dyDescent="0.25">
      <c r="A35" s="3"/>
      <c r="B35" s="860"/>
      <c r="C35" s="860"/>
      <c r="D35" s="856"/>
      <c r="E35" s="862"/>
      <c r="F35" s="860"/>
      <c r="G35" s="610" t="s">
        <v>290</v>
      </c>
      <c r="H35" s="610" t="s">
        <v>291</v>
      </c>
      <c r="I35" s="860"/>
      <c r="J35" s="3"/>
      <c r="K35" s="31">
        <v>4</v>
      </c>
      <c r="L35" s="106" t="s">
        <v>44</v>
      </c>
      <c r="M35" s="107">
        <v>30</v>
      </c>
      <c r="S35" s="576" t="str">
        <f>IF(AND($C$6&gt;T34,$C$6&lt;=T35),"該当","")</f>
        <v/>
      </c>
      <c r="T35" s="577">
        <v>2</v>
      </c>
      <c r="U35" s="649">
        <v>520</v>
      </c>
    </row>
    <row r="36" spans="1:21" ht="36.5" thickTop="1" x14ac:dyDescent="0.2">
      <c r="A36" s="3"/>
      <c r="B36" s="5">
        <v>1</v>
      </c>
      <c r="C36" s="632" t="s">
        <v>304</v>
      </c>
      <c r="D36" s="633">
        <v>0.5</v>
      </c>
      <c r="E36" s="634">
        <f t="shared" ref="E36:E42" si="10">1-D36</f>
        <v>0.5</v>
      </c>
      <c r="F36" s="635">
        <v>3360</v>
      </c>
      <c r="G36" s="646">
        <v>122000</v>
      </c>
      <c r="H36" s="623">
        <f>G36*2</f>
        <v>244000</v>
      </c>
      <c r="I36" s="627" t="s">
        <v>297</v>
      </c>
      <c r="J36" s="3"/>
      <c r="K36" s="31">
        <v>5</v>
      </c>
      <c r="L36" s="106" t="s">
        <v>45</v>
      </c>
      <c r="M36" s="107">
        <v>31</v>
      </c>
      <c r="S36" s="576" t="str">
        <f t="shared" ref="S36:S60" si="11">IF(AND($C$6&gt;T35,$C$6&lt;=T36),"該当","")</f>
        <v/>
      </c>
      <c r="T36" s="577">
        <v>3</v>
      </c>
      <c r="U36" s="649">
        <v>630</v>
      </c>
    </row>
    <row r="37" spans="1:21" ht="36" x14ac:dyDescent="0.2">
      <c r="A37" s="3"/>
      <c r="B37" s="31">
        <v>2</v>
      </c>
      <c r="C37" s="636" t="s">
        <v>305</v>
      </c>
      <c r="D37" s="637">
        <v>0.33333333333333331</v>
      </c>
      <c r="E37" s="638">
        <f t="shared" si="10"/>
        <v>0.66666666666666674</v>
      </c>
      <c r="F37" s="639">
        <v>3360</v>
      </c>
      <c r="G37" s="647">
        <v>122000</v>
      </c>
      <c r="H37" s="624">
        <f>G37*3/2</f>
        <v>183000</v>
      </c>
      <c r="I37" s="628" t="s">
        <v>297</v>
      </c>
      <c r="J37" s="3"/>
      <c r="K37" s="31">
        <v>6</v>
      </c>
      <c r="L37" s="106" t="s">
        <v>46</v>
      </c>
      <c r="M37" s="107">
        <v>30</v>
      </c>
      <c r="S37" s="576" t="str">
        <f t="shared" si="11"/>
        <v/>
      </c>
      <c r="T37" s="577">
        <v>4</v>
      </c>
      <c r="U37" s="649">
        <v>730</v>
      </c>
    </row>
    <row r="38" spans="1:21" ht="24" x14ac:dyDescent="0.2">
      <c r="A38" s="3"/>
      <c r="B38" s="31">
        <v>3</v>
      </c>
      <c r="C38" s="640" t="s">
        <v>306</v>
      </c>
      <c r="D38" s="637">
        <v>0.66666666666666663</v>
      </c>
      <c r="E38" s="638">
        <f t="shared" si="10"/>
        <v>0.33333333333333337</v>
      </c>
      <c r="F38" s="639">
        <v>5190</v>
      </c>
      <c r="G38" s="647">
        <v>122000</v>
      </c>
      <c r="H38" s="624">
        <f>G38*3</f>
        <v>366000</v>
      </c>
      <c r="I38" s="628" t="s">
        <v>297</v>
      </c>
      <c r="J38" s="3"/>
      <c r="K38" s="31">
        <v>7</v>
      </c>
      <c r="L38" s="106" t="s">
        <v>47</v>
      </c>
      <c r="M38" s="107">
        <v>31</v>
      </c>
      <c r="S38" s="576" t="str">
        <f t="shared" si="11"/>
        <v/>
      </c>
      <c r="T38" s="577">
        <v>5</v>
      </c>
      <c r="U38" s="649">
        <v>760</v>
      </c>
    </row>
    <row r="39" spans="1:21" ht="36" x14ac:dyDescent="0.2">
      <c r="A39" s="3"/>
      <c r="B39" s="31">
        <v>4</v>
      </c>
      <c r="C39" s="641" t="s">
        <v>307</v>
      </c>
      <c r="D39" s="637">
        <v>0.66666666666666663</v>
      </c>
      <c r="E39" s="638">
        <f t="shared" si="10"/>
        <v>0.33333333333333337</v>
      </c>
      <c r="F39" s="639">
        <v>3360</v>
      </c>
      <c r="G39" s="647">
        <v>122000</v>
      </c>
      <c r="H39" s="624">
        <f>G39*3</f>
        <v>366000</v>
      </c>
      <c r="I39" s="628" t="s">
        <v>298</v>
      </c>
      <c r="J39" s="3"/>
      <c r="K39" s="31">
        <v>8</v>
      </c>
      <c r="L39" s="106" t="s">
        <v>48</v>
      </c>
      <c r="M39" s="107">
        <v>31</v>
      </c>
      <c r="S39" s="576" t="str">
        <f t="shared" si="11"/>
        <v/>
      </c>
      <c r="T39" s="577">
        <v>6</v>
      </c>
      <c r="U39" s="649">
        <v>790</v>
      </c>
    </row>
    <row r="40" spans="1:21" ht="24" x14ac:dyDescent="0.2">
      <c r="A40" s="3"/>
      <c r="B40" s="31">
        <v>5</v>
      </c>
      <c r="C40" s="641" t="s">
        <v>308</v>
      </c>
      <c r="D40" s="633">
        <v>1</v>
      </c>
      <c r="E40" s="634">
        <f t="shared" si="10"/>
        <v>0</v>
      </c>
      <c r="F40" s="639">
        <v>5190</v>
      </c>
      <c r="G40" s="647">
        <v>122000</v>
      </c>
      <c r="H40" s="625">
        <f>G40*0</f>
        <v>0</v>
      </c>
      <c r="I40" s="628" t="s">
        <v>298</v>
      </c>
      <c r="J40" s="3"/>
      <c r="K40" s="31">
        <v>9</v>
      </c>
      <c r="L40" s="106" t="s">
        <v>49</v>
      </c>
      <c r="M40" s="107">
        <v>30</v>
      </c>
      <c r="S40" s="576" t="str">
        <f t="shared" si="11"/>
        <v/>
      </c>
      <c r="T40" s="577">
        <v>7</v>
      </c>
      <c r="U40" s="649">
        <v>800</v>
      </c>
    </row>
    <row r="41" spans="1:21" ht="36" x14ac:dyDescent="0.2">
      <c r="A41" s="3"/>
      <c r="B41" s="31">
        <v>6</v>
      </c>
      <c r="C41" s="641" t="s">
        <v>292</v>
      </c>
      <c r="D41" s="637">
        <v>0.33333333333333331</v>
      </c>
      <c r="E41" s="638">
        <f t="shared" si="10"/>
        <v>0.66666666666666674</v>
      </c>
      <c r="F41" s="639">
        <v>5190</v>
      </c>
      <c r="G41" s="647">
        <v>122000</v>
      </c>
      <c r="H41" s="625">
        <f>G41*3/2</f>
        <v>183000</v>
      </c>
      <c r="I41" s="628" t="s">
        <v>298</v>
      </c>
      <c r="J41" s="3"/>
      <c r="K41" s="31">
        <v>10</v>
      </c>
      <c r="L41" s="106" t="s">
        <v>50</v>
      </c>
      <c r="M41" s="107">
        <v>31</v>
      </c>
      <c r="S41" s="576" t="str">
        <f t="shared" si="11"/>
        <v/>
      </c>
      <c r="T41" s="577">
        <v>8</v>
      </c>
      <c r="U41" s="649">
        <v>810</v>
      </c>
    </row>
    <row r="42" spans="1:21" ht="36" x14ac:dyDescent="0.2">
      <c r="A42" s="3"/>
      <c r="B42" s="31">
        <v>7</v>
      </c>
      <c r="C42" s="641" t="s">
        <v>293</v>
      </c>
      <c r="D42" s="637">
        <v>0.5</v>
      </c>
      <c r="E42" s="638">
        <f t="shared" si="10"/>
        <v>0.5</v>
      </c>
      <c r="F42" s="639">
        <v>5190</v>
      </c>
      <c r="G42" s="647">
        <v>122000</v>
      </c>
      <c r="H42" s="625">
        <f>G42*2</f>
        <v>244000</v>
      </c>
      <c r="I42" s="628" t="s">
        <v>298</v>
      </c>
      <c r="J42" s="3"/>
      <c r="K42" s="31">
        <v>11</v>
      </c>
      <c r="L42" s="106" t="s">
        <v>51</v>
      </c>
      <c r="M42" s="107">
        <v>30</v>
      </c>
      <c r="S42" s="576" t="str">
        <f t="shared" si="11"/>
        <v/>
      </c>
      <c r="T42" s="577">
        <v>9</v>
      </c>
      <c r="U42" s="649">
        <v>900</v>
      </c>
    </row>
    <row r="43" spans="1:21" ht="42.75" customHeight="1" thickBot="1" x14ac:dyDescent="0.25">
      <c r="A43" s="3"/>
      <c r="B43" s="323">
        <v>8</v>
      </c>
      <c r="C43" s="642" t="s">
        <v>294</v>
      </c>
      <c r="D43" s="643">
        <v>0.75</v>
      </c>
      <c r="E43" s="644">
        <f>1-D43</f>
        <v>0.25</v>
      </c>
      <c r="F43" s="645">
        <v>5190</v>
      </c>
      <c r="G43" s="648">
        <v>122000</v>
      </c>
      <c r="H43" s="626">
        <f>G43*4</f>
        <v>488000</v>
      </c>
      <c r="I43" s="629" t="s">
        <v>298</v>
      </c>
      <c r="J43" s="3"/>
      <c r="K43" s="66">
        <v>12</v>
      </c>
      <c r="L43" s="108" t="s">
        <v>52</v>
      </c>
      <c r="M43" s="109">
        <v>31</v>
      </c>
      <c r="S43" s="576" t="str">
        <f t="shared" si="11"/>
        <v/>
      </c>
      <c r="T43" s="577">
        <v>10</v>
      </c>
      <c r="U43" s="649">
        <v>1000</v>
      </c>
    </row>
    <row r="44" spans="1:21" ht="13.5" customHeight="1" x14ac:dyDescent="0.2">
      <c r="A44" s="3"/>
      <c r="J44" s="3"/>
      <c r="S44" s="576" t="str">
        <f t="shared" si="11"/>
        <v/>
      </c>
      <c r="T44" s="577">
        <v>11</v>
      </c>
      <c r="U44" s="649">
        <v>1120</v>
      </c>
    </row>
    <row r="45" spans="1:21" ht="13.5" customHeight="1" x14ac:dyDescent="0.2">
      <c r="A45" s="3"/>
      <c r="J45" s="3"/>
      <c r="S45" s="576" t="str">
        <f t="shared" si="11"/>
        <v/>
      </c>
      <c r="T45" s="577">
        <v>12</v>
      </c>
      <c r="U45" s="649">
        <v>1300</v>
      </c>
    </row>
    <row r="46" spans="1:21" ht="13.5" customHeight="1" thickBot="1" x14ac:dyDescent="0.25">
      <c r="A46" s="3"/>
      <c r="B46" s="1" t="s">
        <v>36</v>
      </c>
      <c r="E46" s="3"/>
      <c r="F46" s="3"/>
      <c r="G46" s="3"/>
      <c r="H46" s="3"/>
      <c r="I46" s="3"/>
      <c r="K46" s="1" t="s">
        <v>167</v>
      </c>
      <c r="S46" s="576" t="str">
        <f t="shared" si="11"/>
        <v/>
      </c>
      <c r="T46" s="577">
        <v>13</v>
      </c>
      <c r="U46" s="649">
        <v>1410</v>
      </c>
    </row>
    <row r="47" spans="1:21" ht="13.5" customHeight="1" thickBot="1" x14ac:dyDescent="0.25">
      <c r="A47" s="3"/>
      <c r="B47" s="616"/>
      <c r="K47" s="128" t="s">
        <v>168</v>
      </c>
      <c r="L47" s="129" t="s">
        <v>168</v>
      </c>
      <c r="M47" s="130" t="s">
        <v>166</v>
      </c>
      <c r="S47" s="576" t="str">
        <f t="shared" si="11"/>
        <v/>
      </c>
      <c r="T47" s="577">
        <v>14</v>
      </c>
      <c r="U47" s="649">
        <v>1510</v>
      </c>
    </row>
    <row r="48" spans="1:21" ht="13.5" customHeight="1" thickTop="1" x14ac:dyDescent="0.2">
      <c r="A48" s="3"/>
      <c r="B48" s="855" t="s">
        <v>27</v>
      </c>
      <c r="C48" s="857" t="s">
        <v>32</v>
      </c>
      <c r="D48" s="857" t="s">
        <v>28</v>
      </c>
      <c r="E48" s="857" t="s">
        <v>29</v>
      </c>
      <c r="F48" s="857" t="s">
        <v>30</v>
      </c>
      <c r="G48" s="853" t="s">
        <v>39</v>
      </c>
      <c r="H48" s="615"/>
      <c r="I48" s="615"/>
      <c r="J48" s="131"/>
      <c r="K48" s="84" t="str">
        <f>IF(C11="","",MONTH($C$11))</f>
        <v/>
      </c>
      <c r="L48" s="132" t="str">
        <f>IF(K48="","",MATCH(K48,$M$15:$M$27,0)&amp;"ヶ月目")</f>
        <v/>
      </c>
      <c r="M48" s="105" t="str">
        <f>IF(K48="","",IF(K49="",2,1))</f>
        <v/>
      </c>
      <c r="S48" s="576" t="str">
        <f t="shared" si="11"/>
        <v/>
      </c>
      <c r="T48" s="577">
        <v>15</v>
      </c>
      <c r="U48" s="649">
        <v>1560</v>
      </c>
    </row>
    <row r="49" spans="1:21" ht="13.5" customHeight="1" thickBot="1" x14ac:dyDescent="0.25">
      <c r="A49" s="3"/>
      <c r="B49" s="856"/>
      <c r="C49" s="858"/>
      <c r="D49" s="858"/>
      <c r="E49" s="858"/>
      <c r="F49" s="858"/>
      <c r="G49" s="854"/>
      <c r="H49" s="615"/>
      <c r="I49" s="615"/>
      <c r="J49" s="131"/>
      <c r="K49" s="94" t="str">
        <f>IF(K48="","",IF(MONTH($C$11)=MONTH($D$11),"",MONTH($D$11)))</f>
        <v/>
      </c>
      <c r="L49" s="133" t="str">
        <f>IF(K49="","",MATCH(K49,$M$15:$M$27,0)&amp;"ヶ月目")</f>
        <v/>
      </c>
      <c r="M49" s="109" t="str">
        <f>IF(K49="","",1)</f>
        <v/>
      </c>
      <c r="S49" s="576" t="str">
        <f t="shared" si="11"/>
        <v/>
      </c>
      <c r="T49" s="577">
        <v>17</v>
      </c>
      <c r="U49" s="649">
        <v>1660</v>
      </c>
    </row>
    <row r="50" spans="1:21" ht="13.5" customHeight="1" thickTop="1" x14ac:dyDescent="0.2">
      <c r="A50" s="3"/>
      <c r="B50" s="37"/>
      <c r="C50" s="38"/>
      <c r="D50" s="39"/>
      <c r="E50" s="40"/>
      <c r="F50" s="41"/>
      <c r="G50" s="42"/>
      <c r="H50" s="614"/>
      <c r="I50" s="614"/>
      <c r="J50" s="131"/>
      <c r="S50" s="576" t="str">
        <f t="shared" si="11"/>
        <v/>
      </c>
      <c r="T50" s="577">
        <v>19</v>
      </c>
      <c r="U50" s="649">
        <v>1800</v>
      </c>
    </row>
    <row r="51" spans="1:21" ht="13.5" customHeight="1" x14ac:dyDescent="0.2">
      <c r="A51" s="3"/>
      <c r="B51" s="43"/>
      <c r="C51" s="44"/>
      <c r="D51" s="45"/>
      <c r="E51" s="46"/>
      <c r="F51" s="47"/>
      <c r="G51" s="48"/>
      <c r="H51" s="614"/>
      <c r="I51" s="614"/>
      <c r="J51" s="131"/>
      <c r="S51" s="576" t="str">
        <f t="shared" si="11"/>
        <v/>
      </c>
      <c r="T51" s="577">
        <v>21</v>
      </c>
      <c r="U51" s="649">
        <v>1940</v>
      </c>
    </row>
    <row r="52" spans="1:21" ht="13.5" customHeight="1" x14ac:dyDescent="0.2">
      <c r="A52" s="3"/>
      <c r="B52" s="43"/>
      <c r="C52" s="44"/>
      <c r="D52" s="45"/>
      <c r="E52" s="46"/>
      <c r="F52" s="47"/>
      <c r="G52" s="48"/>
      <c r="H52" s="614"/>
      <c r="I52" s="614"/>
      <c r="J52" s="131"/>
      <c r="S52" s="576" t="str">
        <f t="shared" si="11"/>
        <v/>
      </c>
      <c r="T52" s="577">
        <v>23</v>
      </c>
      <c r="U52" s="649">
        <v>2070</v>
      </c>
    </row>
    <row r="53" spans="1:21" ht="13.5" customHeight="1" x14ac:dyDescent="0.2">
      <c r="A53" s="3"/>
      <c r="B53" s="43"/>
      <c r="C53" s="44"/>
      <c r="D53" s="45"/>
      <c r="E53" s="46"/>
      <c r="F53" s="47"/>
      <c r="G53" s="48"/>
      <c r="H53" s="614"/>
      <c r="I53" s="614"/>
      <c r="J53" s="131"/>
      <c r="S53" s="576" t="str">
        <f t="shared" si="11"/>
        <v/>
      </c>
      <c r="T53" s="577">
        <v>25</v>
      </c>
      <c r="U53" s="649">
        <v>2180</v>
      </c>
    </row>
    <row r="54" spans="1:21" ht="13.5" customHeight="1" x14ac:dyDescent="0.2">
      <c r="A54" s="3"/>
      <c r="B54" s="43"/>
      <c r="C54" s="44"/>
      <c r="D54" s="45"/>
      <c r="E54" s="46"/>
      <c r="F54" s="47"/>
      <c r="G54" s="48"/>
      <c r="H54" s="614"/>
      <c r="I54" s="614"/>
      <c r="J54" s="131"/>
      <c r="S54" s="576" t="str">
        <f t="shared" si="11"/>
        <v/>
      </c>
      <c r="T54" s="577">
        <v>27</v>
      </c>
      <c r="U54" s="649">
        <v>2310</v>
      </c>
    </row>
    <row r="55" spans="1:21" ht="13.5" customHeight="1" x14ac:dyDescent="0.2">
      <c r="A55" s="3"/>
      <c r="B55" s="49"/>
      <c r="C55" s="50"/>
      <c r="D55" s="51"/>
      <c r="E55" s="52"/>
      <c r="F55" s="53"/>
      <c r="G55" s="54"/>
      <c r="H55" s="614"/>
      <c r="I55" s="614"/>
      <c r="J55" s="131"/>
      <c r="K55" s="3"/>
      <c r="L55" s="3"/>
      <c r="S55" s="576" t="str">
        <f t="shared" si="11"/>
        <v/>
      </c>
      <c r="T55" s="577">
        <v>29</v>
      </c>
      <c r="U55" s="649">
        <v>2450</v>
      </c>
    </row>
    <row r="56" spans="1:21" ht="13.5" customHeight="1" x14ac:dyDescent="0.2">
      <c r="A56" s="3"/>
      <c r="B56" s="43"/>
      <c r="C56" s="44"/>
      <c r="D56" s="45"/>
      <c r="E56" s="46"/>
      <c r="F56" s="47"/>
      <c r="G56" s="48"/>
      <c r="H56" s="614"/>
      <c r="I56" s="614"/>
      <c r="J56" s="131"/>
      <c r="K56" s="3"/>
      <c r="L56" s="3"/>
      <c r="S56" s="576" t="str">
        <f t="shared" si="11"/>
        <v/>
      </c>
      <c r="T56" s="577">
        <v>31</v>
      </c>
      <c r="U56" s="649">
        <v>2890</v>
      </c>
    </row>
    <row r="57" spans="1:21" ht="13.5" customHeight="1" x14ac:dyDescent="0.2">
      <c r="A57" s="3"/>
      <c r="B57" s="49"/>
      <c r="C57" s="53"/>
      <c r="D57" s="52"/>
      <c r="E57" s="52"/>
      <c r="F57" s="53"/>
      <c r="G57" s="54"/>
      <c r="H57" s="614"/>
      <c r="I57" s="614"/>
      <c r="J57" s="131"/>
      <c r="K57" s="3"/>
      <c r="L57" s="3"/>
      <c r="S57" s="576" t="str">
        <f t="shared" si="11"/>
        <v/>
      </c>
      <c r="T57" s="577">
        <v>34</v>
      </c>
      <c r="U57" s="649">
        <v>3590</v>
      </c>
    </row>
    <row r="58" spans="1:21" ht="13.5" customHeight="1" x14ac:dyDescent="0.2">
      <c r="A58" s="3"/>
      <c r="B58" s="43"/>
      <c r="C58" s="53"/>
      <c r="D58" s="52"/>
      <c r="E58" s="52"/>
      <c r="F58" s="53"/>
      <c r="G58" s="54"/>
      <c r="H58" s="614"/>
      <c r="I58" s="614"/>
      <c r="J58" s="131"/>
      <c r="K58" s="3"/>
      <c r="L58" s="3"/>
      <c r="S58" s="576" t="str">
        <f t="shared" si="11"/>
        <v/>
      </c>
      <c r="T58" s="577">
        <v>39</v>
      </c>
      <c r="U58" s="649">
        <v>4500</v>
      </c>
    </row>
    <row r="59" spans="1:21" ht="13.5" customHeight="1" x14ac:dyDescent="0.2">
      <c r="A59" s="3"/>
      <c r="B59" s="49"/>
      <c r="C59" s="53"/>
      <c r="D59" s="52"/>
      <c r="E59" s="52"/>
      <c r="F59" s="53"/>
      <c r="G59" s="54"/>
      <c r="H59" s="614"/>
      <c r="I59" s="614"/>
      <c r="J59" s="3"/>
      <c r="K59" s="3"/>
      <c r="L59" s="3"/>
      <c r="S59" s="576" t="str">
        <f t="shared" si="11"/>
        <v/>
      </c>
      <c r="T59" s="577">
        <v>46</v>
      </c>
      <c r="U59" s="649">
        <v>5900</v>
      </c>
    </row>
    <row r="60" spans="1:21" ht="13.5" customHeight="1" thickBot="1" x14ac:dyDescent="0.25">
      <c r="A60" s="3"/>
      <c r="B60" s="55"/>
      <c r="C60" s="57"/>
      <c r="D60" s="56"/>
      <c r="E60" s="56"/>
      <c r="F60" s="57"/>
      <c r="G60" s="58"/>
      <c r="H60" s="614"/>
      <c r="I60" s="614"/>
      <c r="J60" s="127"/>
      <c r="K60" s="3"/>
      <c r="L60" s="3"/>
      <c r="S60" s="576" t="str">
        <f t="shared" si="11"/>
        <v/>
      </c>
      <c r="T60" s="577">
        <v>53</v>
      </c>
      <c r="U60" s="649">
        <v>7470</v>
      </c>
    </row>
    <row r="61" spans="1:21" ht="13.5" customHeight="1" x14ac:dyDescent="0.2">
      <c r="A61" s="3"/>
      <c r="J61" s="127"/>
      <c r="K61" s="3"/>
      <c r="L61" s="3"/>
      <c r="S61" s="576" t="str">
        <f>IF(OR(AND($C$6&gt;T60,$U$32&gt;0,$T$32=1),AND($U$32=0,$T$32=2)),"該当","")</f>
        <v/>
      </c>
      <c r="T61" s="16" t="s">
        <v>268</v>
      </c>
      <c r="U61" s="649">
        <v>9290</v>
      </c>
    </row>
    <row r="62" spans="1:21" ht="13.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127"/>
      <c r="K62" s="3"/>
      <c r="L62" s="3"/>
      <c r="S62" s="576" t="str">
        <f>IF(OR(AND($U$32&gt;0,$T$32=2),AND($U$32=0,$T$32=3)),"該当","")</f>
        <v>該当</v>
      </c>
      <c r="T62" s="16" t="s">
        <v>269</v>
      </c>
      <c r="U62" s="649">
        <v>10930</v>
      </c>
    </row>
    <row r="63" spans="1:21" ht="13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127"/>
      <c r="K63" s="3"/>
      <c r="L63" s="3"/>
      <c r="S63" s="576" t="str">
        <f>IF(OR(AND($U$32&gt;0,$T$32=3),AND($U$32=0,$T$32=4)),"該当","")</f>
        <v/>
      </c>
      <c r="T63" s="16" t="s">
        <v>270</v>
      </c>
      <c r="U63" s="649">
        <v>17760</v>
      </c>
    </row>
    <row r="64" spans="1:21" ht="13.5" customHeight="1" x14ac:dyDescent="0.2">
      <c r="A64" s="3"/>
      <c r="J64" s="127"/>
      <c r="K64" s="3"/>
      <c r="L64" s="3"/>
      <c r="S64" s="576" t="str">
        <f>IF(OR(AND($U$32&gt;0,$T$32=4),AND($U$32=0,$T$32=5)),"該当","")</f>
        <v/>
      </c>
      <c r="T64" s="16" t="s">
        <v>271</v>
      </c>
      <c r="U64" s="649">
        <v>25470</v>
      </c>
    </row>
    <row r="65" spans="1:21" ht="13.5" customHeight="1" x14ac:dyDescent="0.2">
      <c r="A65" s="3"/>
      <c r="J65" s="127"/>
      <c r="K65" s="3"/>
      <c r="L65" s="3"/>
      <c r="S65" s="576" t="str">
        <f>IF(OR(AND($U$32&gt;0,$T$32=5),AND($U$32=0,$T$32=6)),"該当","")</f>
        <v/>
      </c>
      <c r="T65" s="16" t="s">
        <v>272</v>
      </c>
      <c r="U65" s="649">
        <v>29980</v>
      </c>
    </row>
    <row r="66" spans="1:21" ht="13.5" customHeight="1" x14ac:dyDescent="0.2">
      <c r="A66" s="3"/>
      <c r="J66" s="127"/>
      <c r="K66" s="3"/>
      <c r="L66" s="3"/>
      <c r="S66" s="576" t="str">
        <f>IF(OR(AND($U$32&gt;0,$T$32=6),AND($U$32=0,$T$32=7)),"該当","")</f>
        <v/>
      </c>
      <c r="T66" s="16" t="s">
        <v>273</v>
      </c>
      <c r="U66" s="649">
        <v>35030</v>
      </c>
    </row>
    <row r="67" spans="1:21" ht="13.5" customHeight="1" x14ac:dyDescent="0.2">
      <c r="A67" s="3"/>
      <c r="J67" s="127"/>
      <c r="K67" s="3"/>
      <c r="L67" s="3"/>
      <c r="S67" s="576" t="str">
        <f>IF(OR(AND($U$32&gt;0,$T$32=7),AND($U$32=0,$T$32=8)),"該当","")</f>
        <v/>
      </c>
      <c r="T67" s="16" t="s">
        <v>274</v>
      </c>
      <c r="U67" s="649">
        <v>36480</v>
      </c>
    </row>
    <row r="68" spans="1:21" ht="13.5" customHeight="1" x14ac:dyDescent="0.2">
      <c r="A68" s="3"/>
      <c r="J68" s="127"/>
      <c r="K68" s="3"/>
      <c r="L68" s="3"/>
      <c r="S68" s="576" t="str">
        <f>IF(OR(AND($U$32&gt;0,$T$32=8),AND($U$32=0,$T$32=9)),"該当","")</f>
        <v/>
      </c>
      <c r="T68" s="16" t="s">
        <v>275</v>
      </c>
      <c r="U68" s="649">
        <v>39480</v>
      </c>
    </row>
    <row r="69" spans="1:21" ht="13.5" customHeight="1" x14ac:dyDescent="0.2">
      <c r="A69" s="3"/>
      <c r="J69" s="127"/>
      <c r="K69" s="3"/>
      <c r="L69" s="3"/>
      <c r="S69" s="576" t="str">
        <f>IF(OR(AND($U$32&gt;0,$T$32=9),AND($U$32=0,$T$32=10)),"該当","")</f>
        <v/>
      </c>
      <c r="T69" s="16" t="s">
        <v>276</v>
      </c>
      <c r="U69" s="649">
        <v>43710</v>
      </c>
    </row>
    <row r="70" spans="1:21" ht="13.5" customHeight="1" x14ac:dyDescent="0.2">
      <c r="A70" s="3"/>
      <c r="J70" s="127"/>
      <c r="K70" s="3"/>
      <c r="L70" s="3"/>
      <c r="S70" s="576" t="str">
        <f>IF(OR(AND($U$32&gt;0,$T$32=10),AND($U$32=0,$T$32=11)),"該当","")</f>
        <v/>
      </c>
      <c r="T70" s="16" t="s">
        <v>277</v>
      </c>
      <c r="U70" s="649">
        <v>54430</v>
      </c>
    </row>
    <row r="71" spans="1:21" ht="13.5" customHeight="1" x14ac:dyDescent="0.2">
      <c r="A71" s="3"/>
      <c r="J71" s="3"/>
      <c r="K71" s="3"/>
      <c r="L71" s="3"/>
      <c r="S71" s="576" t="str">
        <f>IF(OR(AND($U$32&gt;0,$T$32=11),AND($U$32=0,$T$32=12)),"該当","")</f>
        <v/>
      </c>
      <c r="T71" s="16" t="s">
        <v>278</v>
      </c>
      <c r="U71" s="649">
        <v>64400</v>
      </c>
    </row>
    <row r="72" spans="1:21" ht="13.5" customHeight="1" x14ac:dyDescent="0.2">
      <c r="A72" s="3"/>
      <c r="J72" s="3"/>
      <c r="K72" s="3"/>
      <c r="L72" s="3"/>
      <c r="S72" s="576" t="str">
        <f>IF($C$6=T72,"該当","")</f>
        <v/>
      </c>
      <c r="T72" s="578">
        <v>366</v>
      </c>
      <c r="U72" s="649">
        <v>64580</v>
      </c>
    </row>
    <row r="73" spans="1:21" ht="13.5" customHeight="1" x14ac:dyDescent="0.2">
      <c r="A73" s="3"/>
      <c r="J73" s="3"/>
      <c r="K73" s="3"/>
      <c r="L73" s="3"/>
      <c r="S73" s="576" t="str">
        <f t="shared" ref="S73:S74" si="12">IF($C$6=T73,"該当","")</f>
        <v/>
      </c>
      <c r="T73" s="578">
        <v>367</v>
      </c>
      <c r="U73" s="649">
        <v>64750</v>
      </c>
    </row>
    <row r="74" spans="1:21" ht="13.5" customHeight="1" thickBot="1" x14ac:dyDescent="0.25">
      <c r="A74" s="3"/>
      <c r="J74" s="3"/>
      <c r="K74" s="3"/>
      <c r="L74" s="3"/>
      <c r="S74" s="579" t="str">
        <f t="shared" si="12"/>
        <v/>
      </c>
      <c r="T74" s="580">
        <v>368</v>
      </c>
      <c r="U74" s="650">
        <v>64930</v>
      </c>
    </row>
    <row r="75" spans="1:21" ht="13.5" customHeight="1" x14ac:dyDescent="0.2">
      <c r="A75" s="3"/>
      <c r="J75" s="3"/>
      <c r="K75" s="3"/>
      <c r="L75" s="3"/>
    </row>
    <row r="76" spans="1:21" ht="13.5" customHeight="1" x14ac:dyDescent="0.2">
      <c r="A76" s="3"/>
      <c r="J76" s="3"/>
      <c r="K76" s="3"/>
      <c r="L76" s="3"/>
    </row>
    <row r="77" spans="1:21" ht="13.5" customHeight="1" x14ac:dyDescent="0.2">
      <c r="A77" s="3"/>
      <c r="J77" s="3"/>
      <c r="K77" s="3"/>
      <c r="L77" s="3"/>
    </row>
    <row r="78" spans="1:21" ht="13.5" customHeight="1" x14ac:dyDescent="0.2">
      <c r="A78" s="3"/>
      <c r="J78" s="3"/>
      <c r="K78" s="3"/>
      <c r="L78" s="3"/>
    </row>
    <row r="79" spans="1:21" ht="13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21" ht="13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3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3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3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3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2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2" ht="13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3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3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3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3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3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3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3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3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3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3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3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3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3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3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2" ht="13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2" ht="13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2" ht="13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2" ht="13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2" ht="13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2" ht="13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2" ht="13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2" ht="13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2" ht="13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2" ht="13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2" ht="13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2" ht="13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2" ht="13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3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3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3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3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3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3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3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3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3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3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3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3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3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3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3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3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/>
    </row>
    <row r="161" spans="1:11" ht="13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/>
    </row>
    <row r="162" spans="1:11" ht="13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/>
    </row>
    <row r="163" spans="1:11" ht="13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/>
    </row>
    <row r="164" spans="1:11" ht="13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/>
    </row>
    <row r="165" spans="1:11" ht="13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/>
    </row>
    <row r="166" spans="1:11" ht="13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/>
    </row>
    <row r="167" spans="1:11" ht="13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1" ht="13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1" ht="13.5" customHeight="1" x14ac:dyDescent="0.2">
      <c r="A169" s="3"/>
      <c r="B169" s="30"/>
      <c r="C169" s="3"/>
      <c r="D169" s="3"/>
      <c r="E169" s="3"/>
      <c r="F169" s="3"/>
      <c r="G169" s="3"/>
      <c r="H169" s="3"/>
      <c r="I169" s="3"/>
      <c r="J169" s="3"/>
    </row>
    <row r="170" spans="1:11" ht="13.5" customHeight="1" x14ac:dyDescent="0.2">
      <c r="A170" s="3"/>
      <c r="B170" s="30"/>
      <c r="C170" s="3"/>
      <c r="D170" s="3"/>
      <c r="E170" s="3"/>
      <c r="F170" s="3"/>
      <c r="G170" s="3"/>
      <c r="H170" s="3"/>
      <c r="I170" s="3"/>
      <c r="J170" s="3"/>
    </row>
    <row r="171" spans="1:11" ht="13.5" customHeight="1" x14ac:dyDescent="0.2">
      <c r="B171" s="30"/>
      <c r="C171" s="3"/>
      <c r="D171" s="3"/>
      <c r="E171" s="3"/>
      <c r="F171" s="3"/>
      <c r="G171" s="3"/>
      <c r="H171" s="3"/>
      <c r="I171" s="3"/>
      <c r="J171" s="3"/>
    </row>
    <row r="172" spans="1:11" ht="13.5" customHeight="1" x14ac:dyDescent="0.2">
      <c r="B172" s="30"/>
      <c r="C172" s="3"/>
      <c r="D172" s="3"/>
      <c r="E172" s="3"/>
      <c r="F172" s="3"/>
      <c r="G172" s="3"/>
      <c r="H172" s="3"/>
      <c r="I172" s="3"/>
      <c r="J172" s="3"/>
    </row>
    <row r="173" spans="1:11" ht="13.5" customHeight="1" x14ac:dyDescent="0.2">
      <c r="B173" s="30"/>
      <c r="C173" s="3"/>
      <c r="D173" s="3"/>
      <c r="E173" s="3"/>
      <c r="F173" s="3"/>
      <c r="G173" s="3"/>
      <c r="H173" s="3"/>
      <c r="I173" s="3"/>
      <c r="J173" s="3"/>
    </row>
    <row r="174" spans="1:11" ht="13.5" customHeight="1" x14ac:dyDescent="0.2">
      <c r="B174" s="30"/>
      <c r="C174" s="3"/>
      <c r="D174" s="3"/>
      <c r="E174" s="3"/>
      <c r="F174" s="3"/>
      <c r="G174" s="3"/>
      <c r="H174" s="3"/>
      <c r="I174" s="3"/>
      <c r="J174" s="3"/>
    </row>
    <row r="175" spans="1:11" ht="13.5" customHeight="1" x14ac:dyDescent="0.2">
      <c r="B175" s="30"/>
      <c r="C175" s="3"/>
      <c r="D175" s="3"/>
      <c r="E175" s="3"/>
      <c r="F175" s="3"/>
      <c r="G175" s="3"/>
      <c r="H175" s="3"/>
      <c r="I175" s="3"/>
      <c r="J175" s="3"/>
    </row>
    <row r="176" spans="1:11" ht="13.5" customHeight="1" x14ac:dyDescent="0.2">
      <c r="B176" s="30"/>
      <c r="C176" s="3"/>
      <c r="D176" s="3"/>
      <c r="E176" s="3"/>
      <c r="F176" s="3"/>
      <c r="G176" s="3"/>
      <c r="H176" s="3"/>
      <c r="I176" s="3"/>
      <c r="J176" s="3"/>
    </row>
  </sheetData>
  <sheetProtection formatCells="0"/>
  <mergeCells count="30"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  <mergeCell ref="N12:N14"/>
    <mergeCell ref="O12:O14"/>
    <mergeCell ref="G48:G49"/>
    <mergeCell ref="B48:B49"/>
    <mergeCell ref="C48:C49"/>
    <mergeCell ref="D48:D49"/>
    <mergeCell ref="E48:E49"/>
    <mergeCell ref="F48:F49"/>
    <mergeCell ref="B34:B35"/>
    <mergeCell ref="C34:C35"/>
    <mergeCell ref="D34:D35"/>
    <mergeCell ref="E34:E35"/>
    <mergeCell ref="F34:F35"/>
    <mergeCell ref="I34:I35"/>
  </mergeCells>
  <phoneticPr fontId="2"/>
  <dataValidations disablePrompts="1" count="1">
    <dataValidation imeMode="off" allowBlank="1" showInputMessage="1" showErrorMessage="1" sqref="D50:E60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コース不参加費用試算</vt:lpstr>
      <vt:lpstr>コース不参加月別受入費明細</vt:lpstr>
      <vt:lpstr>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【国内移動費】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コース不参加月別受入費明細!Print_Area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2020-12-18T05:55:17Z</dcterms:created>
  <dcterms:modified xsi:type="dcterms:W3CDTF">2026-04-06T04:56:20Z</dcterms:modified>
</cp:coreProperties>
</file>